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total!$A$1:$I$9</definedName>
    <definedName name="_xlnm.Print_Titles" localSheetId="27">total!$1:$2</definedName>
  </definedNames>
  <calcPr calcId="145621"/>
</workbook>
</file>

<file path=xl/calcChain.xml><?xml version="1.0" encoding="utf-8"?>
<calcChain xmlns="http://schemas.openxmlformats.org/spreadsheetml/2006/main">
  <c r="E4" i="23" l="1"/>
  <c r="E5" i="23"/>
  <c r="E3" i="23"/>
  <c r="D5" i="23"/>
  <c r="D4" i="23"/>
  <c r="D3" i="23"/>
  <c r="F8" i="23"/>
  <c r="D3" i="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10" i="23"/>
  <c r="C4" i="23"/>
  <c r="G4" i="23"/>
  <c r="C5" i="23"/>
  <c r="G5" i="23"/>
  <c r="B5" i="23"/>
  <c r="B4" i="23"/>
  <c r="C3" i="23"/>
  <c r="G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13" i="5"/>
  <c r="I15" i="5"/>
  <c r="I14" i="5"/>
  <c r="A20" i="4"/>
  <c r="C20" i="4" s="1"/>
  <c r="C20" i="1"/>
  <c r="I8" i="5" l="1"/>
  <c r="E20" i="24"/>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5" i="23" s="1"/>
  <c r="I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H4" i="23" s="1"/>
  <c r="I4" i="23" s="1"/>
  <c r="E20" i="17"/>
  <c r="E20" i="1"/>
  <c r="E3" i="21" l="1"/>
  <c r="E3" i="19"/>
  <c r="E3" i="15"/>
  <c r="H22" i="13"/>
  <c r="H23" i="13" s="1"/>
  <c r="E3" i="10"/>
  <c r="H22" i="5"/>
  <c r="H23" i="5" s="1"/>
  <c r="H22" i="4"/>
  <c r="H23" i="4" s="1"/>
  <c r="E3" i="11"/>
  <c r="H22" i="7"/>
  <c r="H23" i="7" s="1"/>
  <c r="E3" i="7"/>
  <c r="H22" i="17"/>
  <c r="H23" i="17" s="1"/>
  <c r="E3" i="17"/>
  <c r="E3" i="1"/>
  <c r="H3" i="23" s="1"/>
  <c r="I3" i="23" s="1"/>
  <c r="H22" i="1"/>
  <c r="H23" i="1" s="1"/>
  <c r="F12" i="23" l="1"/>
</calcChain>
</file>

<file path=xl/sharedStrings.xml><?xml version="1.0" encoding="utf-8"?>
<sst xmlns="http://schemas.openxmlformats.org/spreadsheetml/2006/main" count="979" uniqueCount="216">
  <si>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</si>
  <si>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</si>
  <si>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</si>
  <si>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</si>
  <si>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</si>
  <si>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</si>
  <si>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</si>
  <si>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</si>
  <si>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</si>
  <si>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</si>
  <si>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</si>
  <si>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</si>
  <si>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</si>
  <si>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</si>
  <si>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</si>
  <si>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</si>
  <si>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</si>
  <si>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</si>
  <si>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</si>
  <si>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</si>
  <si>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</si>
  <si>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</si>
  <si>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</si>
  <si>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</si>
  <si>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</si>
  <si>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</si>
  <si>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</si>
  <si>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</si>
  <si>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</si>
  <si>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</si>
  <si>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</si>
  <si>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</si>
  <si>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</si>
  <si>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</si>
  <si>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</si>
  <si>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</si>
  <si>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</si>
  <si>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</si>
  <si>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</si>
  <si>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</si>
  <si>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</si>
  <si>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</si>
  <si>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</si>
  <si>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</si>
  <si>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</si>
  <si>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</si>
  <si>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</si>
  <si>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</si>
  <si>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</si>
  <si>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</si>
  <si>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</si>
  <si>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</si>
  <si>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</si>
  <si>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</si>
  <si>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</si>
  <si>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</si>
  <si>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</si>
  <si>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</si>
  <si>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</si>
  <si>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</si>
  <si>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</si>
  <si>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</si>
  <si>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</si>
  <si>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</si>
  <si>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</si>
  <si>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</si>
  <si>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</si>
  <si>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</si>
  <si>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</si>
  <si>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</si>
  <si>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</si>
  <si>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</si>
  <si>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</si>
  <si>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</si>
  <si>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</si>
  <si>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</si>
  <si>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</si>
  <si>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</si>
  <si>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</si>
  <si>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</si>
  <si>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</si>
  <si>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</si>
  <si>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</si>
  <si>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</si>
  <si>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</si>
  <si>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</si>
  <si>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</si>
  <si>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</si>
  <si>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</si>
  <si>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</si>
  <si>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</si>
  <si>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</si>
  <si>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</si>
  <si>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</si>
  <si>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</si>
  <si>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</si>
  <si>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</si>
  <si>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</si>
  <si>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</si>
  <si>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</si>
  <si>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</si>
  <si>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</si>
  <si>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</si>
  <si>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</si>
  <si>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</si>
  <si>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</si>
  <si>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</si>
  <si>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</si>
  <si>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</si>
  <si>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</si>
  <si>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</si>
  <si>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</si>
  <si>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</si>
  <si>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</si>
  <si>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</si>
  <si>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</si>
  <si>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</si>
  <si>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</si>
  <si>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</si>
  <si>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</si>
  <si>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</si>
  <si>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</si>
  <si>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</si>
  <si>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</si>
  <si>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</si>
  <si>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</si>
  <si>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</si>
  <si>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</si>
  <si>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</si>
  <si>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</si>
  <si>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</si>
  <si>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</si>
  <si>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</si>
  <si>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</si>
  <si>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</si>
  <si>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</si>
  <si>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</si>
  <si>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</si>
  <si>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</si>
  <si>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</si>
  <si>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</si>
  <si>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</si>
  <si>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</si>
  <si>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</si>
  <si>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</si>
  <si>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</si>
  <si>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</si>
  <si>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</si>
  <si>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</si>
  <si>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</si>
  <si>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</si>
  <si>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</si>
  <si>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</si>
  <si>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</si>
  <si>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</si>
  <si>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</si>
  <si>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</si>
  <si>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</si>
  <si>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</si>
  <si>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</si>
  <si>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</si>
  <si>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</si>
  <si>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</si>
  <si>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</si>
  <si>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</si>
  <si>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</si>
  <si>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</si>
  <si>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</si>
  <si>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</si>
  <si>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</si>
  <si>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</si>
  <si>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</si>
  <si>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</si>
  <si>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</si>
  <si>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</si>
  <si>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</si>
  <si>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</si>
  <si>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</si>
  <si>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</si>
  <si>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</si>
  <si>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</si>
  <si>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</si>
  <si>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</si>
  <si>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</si>
  <si>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</si>
  <si>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</si>
  <si>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</si>
  <si>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</si>
  <si>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</si>
  <si>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</si>
  <si>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</si>
  <si>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</si>
  <si>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</si>
  <si>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</si>
  <si>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</si>
  <si>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</si>
  <si>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</si>
  <si>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</si>
  <si>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</si>
  <si>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 xml:space="preserve">NOBREAK: 
· Potência mínima de 1500VA / 1050W; 
· Fator de potência: 0,7 ou superior; 
· Seleção automática de tensão na entrada 110V/115V/127V/220V; 
· Forma de onda na saída: senoidal por aproximação;
· Plugue do cabo de força: padrão NBR14136; 
· Frequência da rede: 60 Hz; 
· Tensão de saída: 115 VAC; 
· Mínimo de 8 tomadas de saída com padrão NBR 14136; 
· Autonomia mínima de 60 minutos, quando conectado a uma carga de 80W (equivalente a um microcomputador e um monitor de 15” LCD). 
· Proteção contra: curto-circuito, surtos de tensão entre fase e neutro, sobrecarga, sub e sobretensão da rede elétrica, sobreaquecimento no inversor e no transformador, descarga total das baterias;
· Leds indicativos das condições de funcionamento do equipamento; 
· Alarme audiovisual para sinalização das condições de funcionamento da rede elétrica; · Porta-fusível externo com unidade reserva; · Mínimo de duas baterias VRLA internas seladas de 12V/7Ah ou maior; 
· Filtro de linha e estabilizador integrados; 
· Recarga automática das baterias mesmo com o nobreak desligado; 
· Saída padrão USB para comunicação com o computador; 
· Conector para módulo de baterias externas; 
· Software de gerenciamento de configuração via computador; 
· Line Interactive (Nobreak Interativo com Regulação On-Line) 
· Garantia de, no mínimo, 12 meses, contados a partir do recebimento definitivo do equipamento
</t>
  </si>
  <si>
    <t>UN</t>
  </si>
  <si>
    <t>OFICINA DOS BITS</t>
  </si>
  <si>
    <t xml:space="preserve">IN POWER </t>
  </si>
  <si>
    <t>3D PROJETOS E ASSESSORIA EM INFORMATICA LTDA</t>
  </si>
  <si>
    <t>L &amp; E DIVERSIDADE COMERCIAL LTDA</t>
  </si>
  <si>
    <t>MULTFORTE COMERCIO E SUPRIMENTOS DE INFORMATICA LTDA</t>
  </si>
  <si>
    <t>BIOSTECH CONECTA</t>
  </si>
  <si>
    <t xml:space="preserve">MEGAMARKET </t>
  </si>
  <si>
    <t>SET COMPUTADORES E SERVICOS LTDA</t>
  </si>
  <si>
    <t>R7 DIGITAL INFORMATICA E SERVICOS LTDA</t>
  </si>
  <si>
    <t>GLACON</t>
  </si>
  <si>
    <t>NOBREAK: 
· Potência mínima de 1500VA / 1050W; 
· Fator de potência: 0,7 ou superior; 
· Seleção automática de tensão na entrada 110V/115V/127V/220V; 
· Forma de onda na saída: senoidal por aproximação;
· Plugue do cabo de força: padrão NBR14136; 
· Frequência da rede: 60 Hz; 
· Tensão de saída: 115 VAC; 
· Mínimo de 8 tomadas de saída com padrão NBR 14136; 
· Autonomia mínima de 60 minutos, quando conectado a uma carga de 80W (equivalente a um microcomputador e um monitor de 15” LCD). 
· Proteção contra: curto-circuito, surtos de tensão entre fase e neutro, sobrecarga, sub e sobretensão da rede elétrica, sobreaquecimento no inversor e no transformador, descarga total das baterias;
· Leds indicativos das condições de funcionamento do equipamento; 
· Alarme audiovisual para sinalização das condições de funcionamento da rede elétrica; · Porta-fusível externo com unidade reserva; · Mínimo de duas baterias VRLA internas seladas de 12V/7Ah ou maior; 
· Filtro de linha e estabilizador integrados; 
· Recarga automática das baterias mesmo com o nobreak desligado; 
· Saída padrão USB para comunicação com o computador; 
· Conector para módulo de baterias externas; 
· Software de gerenciamento de configuração via computador; 
· Line Interactive (Nobreak Interativo com Regulação On-Line) 
· Garantia de, no mínimo, 12 meses, contados a partir do recebimento definitivo do equipamento</t>
  </si>
  <si>
    <t>quantidade total</t>
  </si>
  <si>
    <t>quantidade
TRE-BA</t>
  </si>
  <si>
    <t>quantidade
IF BAIANO
Campus Itapetinga</t>
  </si>
  <si>
    <t>ESTABILIZADOR DE TENSÃO MICROPROCESSADO: 
· Potência mínima de 1000VA / 1000W; · Compatível com impressoras laser e multifuncionais monocromáticas de até 40ppm; 
· Microprocessador de alta velocidade; · Filtro de linha integrado; 
· Plugue do cabo de força: padrão NBR 14136; 
· Tensão de entrada: 115/127/220V (bivolt automático) 
· Frequência da rede: 60 Hz; 
· Tensão de saída: 115 VAC; 
· Mínimo de 5 tomadas de saída com padrão NBR 14136; 
· Porta-fusível externo com unidade reserva; · Proteção contra curto-circuito; 
· Proteção contra surtos de tensão entre fase e neutro; 
· Proteção contra sub/sobretensão de rede elétrica; 
· Proteção contra sobreaquecimento; · Proteção contra sobrecarga; 
· Leds indicativos das condições de funcionamento da rede elétrica; 
· Certificado conforme NBR 14373:2006; 
· Garantia de, no mínimo, 12 meses, contados a partir do recebimento definitivo do equipamento.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</si>
</sst>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R$&quot;\ #,##0.00;[Red]\-&quot;R$&quot;\ #,##0.00"/>
    <numFmt numFmtId="44" formatCode="_-&quot;R$&quot;\ * #,##0.00_-;\-&quot;R$&quot;\ * #,##0.00_-;_-&quot;R$&quot;\ * &quot;-&quot;??_-;_-@_-"/>
    <numFmt numFmtId="164" formatCode="0;\-0;\-;@"/>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2">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2" fillId="0" borderId="1" xfId="0" applyFont="1" applyBorder="1" applyAlignment="1">
      <alignment horizontal="center" vertical="top"/>
    </xf>
    <xf numFmtId="44" fontId="2" fillId="0" borderId="1" xfId="1" applyFont="1" applyBorder="1" applyAlignment="1">
      <alignment vertical="top"/>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8" fillId="2" borderId="5" xfId="0" applyFont="1" applyFill="1" applyBorder="1" applyAlignment="1">
      <alignment horizontal="right" vertical="center"/>
    </xf>
    <xf numFmtId="0" fontId="8" fillId="2" borderId="4" xfId="0" applyFont="1" applyFill="1" applyBorder="1" applyAlignment="1">
      <alignment vertical="center"/>
    </xf>
    <xf numFmtId="44" fontId="8" fillId="2" borderId="6" xfId="1" applyFont="1" applyFill="1" applyBorder="1" applyAlignment="1">
      <alignment vertical="center" shrinkToFi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xf numFmtId="164" fontId="2" fillId="0" borderId="1" xfId="0" applyNumberFormat="1" applyFont="1" applyBorder="1" applyAlignment="1">
      <alignment horizontal="center" vertical="top"/>
    </xf>
    <xf numFmtId="0" fontId="3" fillId="0" borderId="1" xfId="0" applyFont="1" applyBorder="1" applyAlignment="1">
      <alignment horizontal="left" vertical="top" wrapText="1"/>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211</v>
      </c>
      <c r="C3" s="36" t="s">
        <v>200</v>
      </c>
      <c r="D3" s="36">
        <f>550-Item3!D3</f>
        <v>467</v>
      </c>
      <c r="E3" s="37">
        <f>IF(C20&lt;=25%,D20,MIN(E20:F20))</f>
        <v>961.99</v>
      </c>
      <c r="F3" s="37">
        <f>MIN(H3:H17)</f>
        <v>595.96</v>
      </c>
      <c r="G3" s="5" t="s">
        <v>210</v>
      </c>
      <c r="H3" s="16">
        <v>1341.22</v>
      </c>
      <c r="I3" s="17" t="str">
        <f>IF(H3="","",(IF($C$20&lt;25%,"n/a",IF(H3&lt;=($D$20+$A$20),H3,"Descartado"))))</f>
        <v>Descartado</v>
      </c>
    </row>
    <row r="4" spans="1:9" x14ac:dyDescent="0.25">
      <c r="A4" s="38"/>
      <c r="B4" s="35"/>
      <c r="C4" s="36"/>
      <c r="D4" s="36"/>
      <c r="E4" s="37"/>
      <c r="F4" s="37"/>
      <c r="G4" s="5" t="s">
        <v>201</v>
      </c>
      <c r="H4" s="16">
        <v>1269.99</v>
      </c>
      <c r="I4" s="17">
        <f t="shared" ref="I4:I17" si="0">IF(H4="","",(IF($C$20&lt;25%,"n/a",IF(H4&lt;=($D$20+$A$20),H4,"Descartado"))))</f>
        <v>1269.99</v>
      </c>
    </row>
    <row r="5" spans="1:9" x14ac:dyDescent="0.25">
      <c r="A5" s="38"/>
      <c r="B5" s="35"/>
      <c r="C5" s="36"/>
      <c r="D5" s="36"/>
      <c r="E5" s="37"/>
      <c r="F5" s="37"/>
      <c r="G5" s="5" t="s">
        <v>202</v>
      </c>
      <c r="H5" s="16">
        <v>1049.99</v>
      </c>
      <c r="I5" s="17">
        <f t="shared" si="0"/>
        <v>1049.99</v>
      </c>
    </row>
    <row r="6" spans="1:9" x14ac:dyDescent="0.25">
      <c r="A6" s="38"/>
      <c r="B6" s="35"/>
      <c r="C6" s="36"/>
      <c r="D6" s="36"/>
      <c r="E6" s="37"/>
      <c r="F6" s="37"/>
      <c r="G6" s="5" t="s">
        <v>171</v>
      </c>
      <c r="H6" s="16">
        <v>1110.99</v>
      </c>
      <c r="I6" s="17">
        <f t="shared" si="0"/>
        <v>1110.99</v>
      </c>
    </row>
    <row r="7" spans="1:9" x14ac:dyDescent="0.25">
      <c r="A7" s="38"/>
      <c r="B7" s="35"/>
      <c r="C7" s="36"/>
      <c r="D7" s="36"/>
      <c r="E7" s="37"/>
      <c r="F7" s="37"/>
      <c r="G7" s="5" t="s">
        <v>203</v>
      </c>
      <c r="H7" s="16">
        <v>595.96</v>
      </c>
      <c r="I7" s="17">
        <f t="shared" si="0"/>
        <v>595.96</v>
      </c>
    </row>
    <row r="8" spans="1:9" x14ac:dyDescent="0.25">
      <c r="A8" s="38"/>
      <c r="B8" s="35"/>
      <c r="C8" s="36"/>
      <c r="D8" s="36"/>
      <c r="E8" s="37"/>
      <c r="F8" s="37"/>
      <c r="G8" s="5" t="s">
        <v>204</v>
      </c>
      <c r="H8" s="16">
        <v>695</v>
      </c>
      <c r="I8" s="17">
        <f t="shared" si="0"/>
        <v>695</v>
      </c>
    </row>
    <row r="9" spans="1:9" x14ac:dyDescent="0.25">
      <c r="A9" s="38"/>
      <c r="B9" s="35"/>
      <c r="C9" s="36"/>
      <c r="D9" s="36"/>
      <c r="E9" s="37"/>
      <c r="F9" s="37"/>
      <c r="G9" s="5" t="s">
        <v>205</v>
      </c>
      <c r="H9" s="16">
        <v>1050</v>
      </c>
      <c r="I9" s="17">
        <f t="shared" si="0"/>
        <v>1050</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277.21465851436921</v>
      </c>
      <c r="B20" s="8">
        <f>COUNT(H3:H17)</f>
        <v>7</v>
      </c>
      <c r="C20" s="9">
        <f>IF(B20&lt;2,"n/a",(A20/D20))</f>
        <v>0.27280611174851321</v>
      </c>
      <c r="D20" s="10">
        <f>IFERROR(ROUND(AVERAGE(H3:H17),2),"")</f>
        <v>1016.16</v>
      </c>
      <c r="E20" s="15">
        <f>IFERROR(ROUND(IF(B20&lt;2,"n/a",(IF(C20&lt;=25%,"n/a",AVERAGE(I3:I17)))),2),"n/a")</f>
        <v>961.99</v>
      </c>
      <c r="F20" s="10">
        <f>IFERROR(ROUND(MEDIAN(H3:H17),2),"")</f>
        <v>1050</v>
      </c>
      <c r="G20" s="11" t="str">
        <f>IFERROR(INDEX(G3:G17,MATCH(H20,H3:H17,0)),"")</f>
        <v>3D PROJETOS E ASSESSORIA EM INFORMATICA LTDA</v>
      </c>
      <c r="H20" s="12">
        <f>F3</f>
        <v>595.96</v>
      </c>
    </row>
    <row r="22" spans="1:9" x14ac:dyDescent="0.25">
      <c r="G22" s="13" t="s">
        <v>20</v>
      </c>
      <c r="H22" s="14">
        <f>IF(C20&lt;=25%,D20,MIN(E20:F20))</f>
        <v>961.99</v>
      </c>
    </row>
    <row r="23" spans="1:9" x14ac:dyDescent="0.25">
      <c r="G23" s="13" t="s">
        <v>6</v>
      </c>
      <c r="H23" s="14">
        <f>ROUND(H22,2)*D3</f>
        <v>449249.33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40</v>
      </c>
      <c r="C3" s="36" t="s">
        <v>7</v>
      </c>
      <c r="D3" s="36">
        <v>4</v>
      </c>
      <c r="E3" s="37">
        <f>IF(C20&lt;=25%,D20,MIN(E20:F20))</f>
        <v>96.78</v>
      </c>
      <c r="F3" s="37">
        <f>MIN(H3:H17)</f>
        <v>40</v>
      </c>
      <c r="G3" s="5" t="s">
        <v>96</v>
      </c>
      <c r="H3" s="16">
        <v>98</v>
      </c>
      <c r="I3" s="17">
        <f>IF(H3="","",(IF($C$20&lt;25%,"n/a",IF(H3&lt;=($D$20+$A$20),H3,"Descartado"))))</f>
        <v>98</v>
      </c>
    </row>
    <row r="4" spans="1:9" x14ac:dyDescent="0.25">
      <c r="A4" s="38"/>
      <c r="B4" s="35"/>
      <c r="C4" s="36"/>
      <c r="D4" s="36"/>
      <c r="E4" s="37"/>
      <c r="F4" s="37"/>
      <c r="G4" s="5" t="s">
        <v>97</v>
      </c>
      <c r="H4" s="16">
        <v>134.55000000000001</v>
      </c>
      <c r="I4" s="17">
        <f t="shared" ref="I4:I17" si="0">IF(H4="","",(IF($C$20&lt;25%,"n/a",IF(H4&lt;=($D$20+$A$20),H4,"Descartado"))))</f>
        <v>134.55000000000001</v>
      </c>
    </row>
    <row r="5" spans="1:9" x14ac:dyDescent="0.25">
      <c r="A5" s="38"/>
      <c r="B5" s="35"/>
      <c r="C5" s="36"/>
      <c r="D5" s="36"/>
      <c r="E5" s="37"/>
      <c r="F5" s="37"/>
      <c r="G5" s="5" t="s">
        <v>98</v>
      </c>
      <c r="H5" s="16">
        <v>59.77</v>
      </c>
      <c r="I5" s="17">
        <f t="shared" si="0"/>
        <v>59.77</v>
      </c>
    </row>
    <row r="6" spans="1:9" x14ac:dyDescent="0.25">
      <c r="A6" s="38"/>
      <c r="B6" s="35"/>
      <c r="C6" s="36"/>
      <c r="D6" s="36"/>
      <c r="E6" s="37"/>
      <c r="F6" s="37"/>
      <c r="G6" s="5" t="s">
        <v>99</v>
      </c>
      <c r="H6" s="16">
        <v>167</v>
      </c>
      <c r="I6" s="17">
        <f t="shared" si="0"/>
        <v>167</v>
      </c>
    </row>
    <row r="7" spans="1:9" x14ac:dyDescent="0.25">
      <c r="A7" s="38"/>
      <c r="B7" s="35"/>
      <c r="C7" s="36"/>
      <c r="D7" s="36"/>
      <c r="E7" s="37"/>
      <c r="F7" s="37"/>
      <c r="G7" s="5" t="s">
        <v>100</v>
      </c>
      <c r="H7" s="16">
        <v>60</v>
      </c>
      <c r="I7" s="17">
        <f t="shared" si="0"/>
        <v>60</v>
      </c>
    </row>
    <row r="8" spans="1:9" x14ac:dyDescent="0.25">
      <c r="A8" s="38"/>
      <c r="B8" s="35"/>
      <c r="C8" s="36"/>
      <c r="D8" s="36"/>
      <c r="E8" s="37"/>
      <c r="F8" s="37"/>
      <c r="G8" s="5" t="s">
        <v>101</v>
      </c>
      <c r="H8" s="16">
        <v>50</v>
      </c>
      <c r="I8" s="17">
        <f t="shared" si="0"/>
        <v>50</v>
      </c>
    </row>
    <row r="9" spans="1:9" x14ac:dyDescent="0.25">
      <c r="A9" s="38"/>
      <c r="B9" s="35"/>
      <c r="C9" s="36"/>
      <c r="D9" s="36"/>
      <c r="E9" s="37"/>
      <c r="F9" s="37"/>
      <c r="G9" s="5" t="s">
        <v>102</v>
      </c>
      <c r="H9" s="16">
        <v>40</v>
      </c>
      <c r="I9" s="17">
        <f t="shared" si="0"/>
        <v>40</v>
      </c>
    </row>
    <row r="10" spans="1:9" x14ac:dyDescent="0.25">
      <c r="A10" s="38"/>
      <c r="B10" s="35"/>
      <c r="C10" s="36"/>
      <c r="D10" s="36"/>
      <c r="E10" s="37"/>
      <c r="F10" s="37"/>
      <c r="G10" s="5" t="s">
        <v>103</v>
      </c>
      <c r="H10" s="16">
        <v>198.99</v>
      </c>
      <c r="I10" s="17" t="str">
        <f t="shared" si="0"/>
        <v>Descartado</v>
      </c>
    </row>
    <row r="11" spans="1:9" x14ac:dyDescent="0.25">
      <c r="A11" s="38"/>
      <c r="B11" s="35"/>
      <c r="C11" s="36"/>
      <c r="D11" s="36"/>
      <c r="E11" s="37"/>
      <c r="F11" s="37"/>
      <c r="G11" s="5" t="s">
        <v>104</v>
      </c>
      <c r="H11" s="16">
        <v>200</v>
      </c>
      <c r="I11" s="17" t="str">
        <f t="shared" si="0"/>
        <v>Descartado</v>
      </c>
    </row>
    <row r="12" spans="1:9" x14ac:dyDescent="0.25">
      <c r="A12" s="38"/>
      <c r="B12" s="35"/>
      <c r="C12" s="36"/>
      <c r="D12" s="36"/>
      <c r="E12" s="37"/>
      <c r="F12" s="37"/>
      <c r="G12" s="5" t="s">
        <v>169</v>
      </c>
      <c r="H12" s="16">
        <v>199</v>
      </c>
      <c r="I12" s="17" t="str">
        <f t="shared" si="0"/>
        <v>Descartado</v>
      </c>
    </row>
    <row r="13" spans="1:9" x14ac:dyDescent="0.25">
      <c r="A13" s="38"/>
      <c r="B13" s="35"/>
      <c r="C13" s="36"/>
      <c r="D13" s="36"/>
      <c r="E13" s="37"/>
      <c r="F13" s="37"/>
      <c r="G13" s="5" t="s">
        <v>170</v>
      </c>
      <c r="H13" s="16">
        <v>164.9</v>
      </c>
      <c r="I13" s="17">
        <f t="shared" si="0"/>
        <v>164.9</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41</v>
      </c>
      <c r="C3" s="36" t="s">
        <v>7</v>
      </c>
      <c r="D3" s="36">
        <v>2</v>
      </c>
      <c r="E3" s="37">
        <f>IF(C20&lt;=25%,D20,MIN(E20:F20))</f>
        <v>317.42</v>
      </c>
      <c r="F3" s="37">
        <f>MIN(H3:H17)</f>
        <v>143.76</v>
      </c>
      <c r="G3" s="5" t="s">
        <v>62</v>
      </c>
      <c r="H3" s="16">
        <v>308.31</v>
      </c>
      <c r="I3" s="17">
        <f>IF(H3="","",(IF($C$20&lt;25%,"n/a",IF(H3&lt;=($D$20+$A$20),H3,"Descartado"))))</f>
        <v>308.31</v>
      </c>
    </row>
    <row r="4" spans="1:9" x14ac:dyDescent="0.25">
      <c r="A4" s="38"/>
      <c r="B4" s="35"/>
      <c r="C4" s="36"/>
      <c r="D4" s="36"/>
      <c r="E4" s="37"/>
      <c r="F4" s="37"/>
      <c r="G4" s="5" t="s">
        <v>105</v>
      </c>
      <c r="H4" s="16">
        <v>283</v>
      </c>
      <c r="I4" s="17">
        <f t="shared" ref="I4:I17" si="0">IF(H4="","",(IF($C$20&lt;25%,"n/a",IF(H4&lt;=($D$20+$A$20),H4,"Descartado"))))</f>
        <v>283</v>
      </c>
    </row>
    <row r="5" spans="1:9" x14ac:dyDescent="0.25">
      <c r="A5" s="38"/>
      <c r="B5" s="35"/>
      <c r="C5" s="36"/>
      <c r="D5" s="36"/>
      <c r="E5" s="37"/>
      <c r="F5" s="37"/>
      <c r="G5" s="5" t="s">
        <v>106</v>
      </c>
      <c r="H5" s="16">
        <v>896</v>
      </c>
      <c r="I5" s="17" t="str">
        <f t="shared" si="0"/>
        <v>Descartado</v>
      </c>
    </row>
    <row r="6" spans="1:9" x14ac:dyDescent="0.25">
      <c r="A6" s="38"/>
      <c r="B6" s="35"/>
      <c r="C6" s="36"/>
      <c r="D6" s="36"/>
      <c r="E6" s="37"/>
      <c r="F6" s="37"/>
      <c r="G6" s="5" t="s">
        <v>63</v>
      </c>
      <c r="H6" s="16">
        <v>949</v>
      </c>
      <c r="I6" s="17" t="str">
        <f t="shared" si="0"/>
        <v>Descartado</v>
      </c>
    </row>
    <row r="7" spans="1:9" x14ac:dyDescent="0.25">
      <c r="A7" s="38"/>
      <c r="B7" s="35"/>
      <c r="C7" s="36"/>
      <c r="D7" s="36"/>
      <c r="E7" s="37"/>
      <c r="F7" s="37"/>
      <c r="G7" s="5" t="s">
        <v>107</v>
      </c>
      <c r="H7" s="16">
        <v>1100</v>
      </c>
      <c r="I7" s="17" t="str">
        <f t="shared" si="0"/>
        <v>Descartado</v>
      </c>
    </row>
    <row r="8" spans="1:9" x14ac:dyDescent="0.25">
      <c r="A8" s="38"/>
      <c r="B8" s="35"/>
      <c r="C8" s="36"/>
      <c r="D8" s="36"/>
      <c r="E8" s="37"/>
      <c r="F8" s="37"/>
      <c r="G8" s="5" t="s">
        <v>108</v>
      </c>
      <c r="H8" s="16">
        <v>412</v>
      </c>
      <c r="I8" s="17">
        <f t="shared" si="0"/>
        <v>412</v>
      </c>
    </row>
    <row r="9" spans="1:9" x14ac:dyDescent="0.25">
      <c r="A9" s="38"/>
      <c r="B9" s="35"/>
      <c r="C9" s="36"/>
      <c r="D9" s="36"/>
      <c r="E9" s="37"/>
      <c r="F9" s="37"/>
      <c r="G9" s="5" t="s">
        <v>109</v>
      </c>
      <c r="H9" s="16">
        <v>328.87</v>
      </c>
      <c r="I9" s="17">
        <f t="shared" si="0"/>
        <v>328.87</v>
      </c>
    </row>
    <row r="10" spans="1:9" x14ac:dyDescent="0.25">
      <c r="A10" s="38"/>
      <c r="B10" s="35"/>
      <c r="C10" s="36"/>
      <c r="D10" s="36"/>
      <c r="E10" s="37"/>
      <c r="F10" s="37"/>
      <c r="G10" s="5" t="s">
        <v>110</v>
      </c>
      <c r="H10" s="16">
        <v>250</v>
      </c>
      <c r="I10" s="17">
        <f t="shared" si="0"/>
        <v>250</v>
      </c>
    </row>
    <row r="11" spans="1:9" x14ac:dyDescent="0.25">
      <c r="A11" s="38"/>
      <c r="B11" s="35"/>
      <c r="C11" s="36"/>
      <c r="D11" s="36"/>
      <c r="E11" s="37"/>
      <c r="F11" s="37"/>
      <c r="G11" s="5" t="s">
        <v>111</v>
      </c>
      <c r="H11" s="16">
        <v>143.76</v>
      </c>
      <c r="I11" s="17">
        <f t="shared" si="0"/>
        <v>143.76</v>
      </c>
    </row>
    <row r="12" spans="1:9" x14ac:dyDescent="0.25">
      <c r="A12" s="38"/>
      <c r="B12" s="35"/>
      <c r="C12" s="36"/>
      <c r="D12" s="36"/>
      <c r="E12" s="37"/>
      <c r="F12" s="37"/>
      <c r="G12" s="5" t="s">
        <v>90</v>
      </c>
      <c r="H12" s="16">
        <v>583.65</v>
      </c>
      <c r="I12" s="17">
        <f t="shared" si="0"/>
        <v>583.65</v>
      </c>
    </row>
    <row r="13" spans="1:9" x14ac:dyDescent="0.25">
      <c r="A13" s="38"/>
      <c r="B13" s="35"/>
      <c r="C13" s="36"/>
      <c r="D13" s="36"/>
      <c r="E13" s="37"/>
      <c r="F13" s="37"/>
      <c r="G13" s="5" t="s">
        <v>112</v>
      </c>
      <c r="H13" s="16">
        <v>376.2</v>
      </c>
      <c r="I13" s="17">
        <f t="shared" si="0"/>
        <v>376.2</v>
      </c>
    </row>
    <row r="14" spans="1:9" x14ac:dyDescent="0.25">
      <c r="A14" s="38"/>
      <c r="B14" s="35"/>
      <c r="C14" s="36"/>
      <c r="D14" s="36"/>
      <c r="E14" s="37"/>
      <c r="F14" s="37"/>
      <c r="G14" s="5" t="s">
        <v>163</v>
      </c>
      <c r="H14" s="16">
        <v>171.03</v>
      </c>
      <c r="I14" s="17">
        <f t="shared" si="0"/>
        <v>171.03</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42</v>
      </c>
      <c r="C3" s="36" t="s">
        <v>7</v>
      </c>
      <c r="D3" s="36">
        <v>1</v>
      </c>
      <c r="E3" s="37">
        <f>IF(C20&lt;=25%,D20,MIN(E20:F20))</f>
        <v>808.95</v>
      </c>
      <c r="F3" s="37">
        <f>MIN(H3:H17)</f>
        <v>289.89999999999998</v>
      </c>
      <c r="G3" s="5" t="s">
        <v>92</v>
      </c>
      <c r="H3" s="16">
        <v>761.9</v>
      </c>
      <c r="I3" s="17">
        <f>IF(H3="","",(IF($C$20&lt;25%,"n/a",IF(H3&lt;=($D$20+$A$20),H3,"Descartado"))))</f>
        <v>761.9</v>
      </c>
    </row>
    <row r="4" spans="1:9" x14ac:dyDescent="0.25">
      <c r="A4" s="38"/>
      <c r="B4" s="35"/>
      <c r="C4" s="36"/>
      <c r="D4" s="36"/>
      <c r="E4" s="37"/>
      <c r="F4" s="37"/>
      <c r="G4" s="5" t="s">
        <v>113</v>
      </c>
      <c r="H4" s="16">
        <v>748</v>
      </c>
      <c r="I4" s="17">
        <f t="shared" ref="I4:I17" si="0">IF(H4="","",(IF($C$20&lt;25%,"n/a",IF(H4&lt;=($D$20+$A$20),H4,"Descartado"))))</f>
        <v>748</v>
      </c>
    </row>
    <row r="5" spans="1:9" x14ac:dyDescent="0.25">
      <c r="A5" s="38"/>
      <c r="B5" s="35"/>
      <c r="C5" s="36"/>
      <c r="D5" s="36"/>
      <c r="E5" s="37"/>
      <c r="F5" s="37"/>
      <c r="G5" s="5" t="s">
        <v>99</v>
      </c>
      <c r="H5" s="16">
        <v>1880</v>
      </c>
      <c r="I5" s="17" t="str">
        <f t="shared" si="0"/>
        <v>Descartado</v>
      </c>
    </row>
    <row r="6" spans="1:9" x14ac:dyDescent="0.25">
      <c r="A6" s="38"/>
      <c r="B6" s="35"/>
      <c r="C6" s="36"/>
      <c r="D6" s="36"/>
      <c r="E6" s="37"/>
      <c r="F6" s="37"/>
      <c r="G6" s="5" t="s">
        <v>114</v>
      </c>
      <c r="H6" s="16">
        <v>1084.05</v>
      </c>
      <c r="I6" s="17">
        <f t="shared" si="0"/>
        <v>1084.05</v>
      </c>
    </row>
    <row r="7" spans="1:9" x14ac:dyDescent="0.25">
      <c r="A7" s="38"/>
      <c r="B7" s="35"/>
      <c r="C7" s="36"/>
      <c r="D7" s="36"/>
      <c r="E7" s="37"/>
      <c r="F7" s="37"/>
      <c r="G7" s="5" t="s">
        <v>115</v>
      </c>
      <c r="H7" s="16">
        <v>1178</v>
      </c>
      <c r="I7" s="17">
        <f t="shared" si="0"/>
        <v>1178</v>
      </c>
    </row>
    <row r="8" spans="1:9" x14ac:dyDescent="0.25">
      <c r="A8" s="38"/>
      <c r="B8" s="35"/>
      <c r="C8" s="36"/>
      <c r="D8" s="36"/>
      <c r="E8" s="37"/>
      <c r="F8" s="37"/>
      <c r="G8" s="5" t="s">
        <v>116</v>
      </c>
      <c r="H8" s="16">
        <v>1500</v>
      </c>
      <c r="I8" s="17" t="str">
        <f t="shared" si="0"/>
        <v>Descartado</v>
      </c>
    </row>
    <row r="9" spans="1:9" x14ac:dyDescent="0.25">
      <c r="A9" s="38"/>
      <c r="B9" s="35"/>
      <c r="C9" s="36"/>
      <c r="D9" s="36"/>
      <c r="E9" s="37"/>
      <c r="F9" s="37"/>
      <c r="G9" s="5" t="s">
        <v>117</v>
      </c>
      <c r="H9" s="16">
        <v>859</v>
      </c>
      <c r="I9" s="17">
        <f t="shared" si="0"/>
        <v>859</v>
      </c>
    </row>
    <row r="10" spans="1:9" x14ac:dyDescent="0.25">
      <c r="A10" s="38"/>
      <c r="B10" s="35"/>
      <c r="C10" s="36"/>
      <c r="D10" s="36"/>
      <c r="E10" s="37"/>
      <c r="F10" s="37"/>
      <c r="G10" s="5" t="s">
        <v>118</v>
      </c>
      <c r="H10" s="16">
        <v>673.78</v>
      </c>
      <c r="I10" s="17">
        <f t="shared" si="0"/>
        <v>673.78</v>
      </c>
    </row>
    <row r="11" spans="1:9" x14ac:dyDescent="0.25">
      <c r="A11" s="38"/>
      <c r="B11" s="35"/>
      <c r="C11" s="36"/>
      <c r="D11" s="36"/>
      <c r="E11" s="37"/>
      <c r="F11" s="37"/>
      <c r="G11" s="5" t="s">
        <v>171</v>
      </c>
      <c r="H11" s="16">
        <v>877</v>
      </c>
      <c r="I11" s="17">
        <f t="shared" si="0"/>
        <v>877</v>
      </c>
    </row>
    <row r="12" spans="1:9" x14ac:dyDescent="0.25">
      <c r="A12" s="38"/>
      <c r="B12" s="35"/>
      <c r="C12" s="36"/>
      <c r="D12" s="36"/>
      <c r="E12" s="37"/>
      <c r="F12" s="37"/>
      <c r="G12" s="5" t="s">
        <v>172</v>
      </c>
      <c r="H12" s="16">
        <v>289.89999999999998</v>
      </c>
      <c r="I12" s="17">
        <f t="shared" si="0"/>
        <v>289.89999999999998</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43</v>
      </c>
      <c r="C3" s="36" t="s">
        <v>7</v>
      </c>
      <c r="D3" s="36">
        <v>2</v>
      </c>
      <c r="E3" s="37">
        <f>IF(C20&lt;=25%,D20,MIN(E20:F20))</f>
        <v>733.15</v>
      </c>
      <c r="F3" s="37">
        <f>MIN(H3:H17)</f>
        <v>530</v>
      </c>
      <c r="G3" s="5" t="s">
        <v>119</v>
      </c>
      <c r="H3" s="16">
        <v>2799.98</v>
      </c>
      <c r="I3" s="17" t="str">
        <f>IF(H3="","",(IF($C$20&lt;25%,"n/a",IF(H3&lt;=($D$20+$A$20),H3,"Descartado"))))</f>
        <v>Descartado</v>
      </c>
    </row>
    <row r="4" spans="1:9" x14ac:dyDescent="0.25">
      <c r="A4" s="38"/>
      <c r="B4" s="35"/>
      <c r="C4" s="36"/>
      <c r="D4" s="36"/>
      <c r="E4" s="37"/>
      <c r="F4" s="37"/>
      <c r="G4" s="5" t="s">
        <v>120</v>
      </c>
      <c r="H4" s="16">
        <v>839.76</v>
      </c>
      <c r="I4" s="17">
        <f t="shared" ref="I4:I17" si="0">IF(H4="","",(IF($C$20&lt;25%,"n/a",IF(H4&lt;=($D$20+$A$20),H4,"Descartado"))))</f>
        <v>839.76</v>
      </c>
    </row>
    <row r="5" spans="1:9" x14ac:dyDescent="0.25">
      <c r="A5" s="38"/>
      <c r="B5" s="35"/>
      <c r="C5" s="36"/>
      <c r="D5" s="36"/>
      <c r="E5" s="37"/>
      <c r="F5" s="37"/>
      <c r="G5" s="5" t="s">
        <v>121</v>
      </c>
      <c r="H5" s="16">
        <v>657.09</v>
      </c>
      <c r="I5" s="17">
        <f t="shared" si="0"/>
        <v>657.09</v>
      </c>
    </row>
    <row r="6" spans="1:9" x14ac:dyDescent="0.25">
      <c r="A6" s="38"/>
      <c r="B6" s="35"/>
      <c r="C6" s="36"/>
      <c r="D6" s="36"/>
      <c r="E6" s="37"/>
      <c r="F6" s="37"/>
      <c r="G6" s="5" t="s">
        <v>89</v>
      </c>
      <c r="H6" s="16">
        <v>939</v>
      </c>
      <c r="I6" s="17">
        <f t="shared" si="0"/>
        <v>939</v>
      </c>
    </row>
    <row r="7" spans="1:9" x14ac:dyDescent="0.25">
      <c r="A7" s="38"/>
      <c r="B7" s="35"/>
      <c r="C7" s="36"/>
      <c r="D7" s="36"/>
      <c r="E7" s="37"/>
      <c r="F7" s="37"/>
      <c r="G7" s="5" t="s">
        <v>173</v>
      </c>
      <c r="H7" s="16">
        <v>530</v>
      </c>
      <c r="I7" s="17">
        <f t="shared" si="0"/>
        <v>530</v>
      </c>
    </row>
    <row r="8" spans="1:9" x14ac:dyDescent="0.25">
      <c r="A8" s="38"/>
      <c r="B8" s="35"/>
      <c r="C8" s="36"/>
      <c r="D8" s="36"/>
      <c r="E8" s="37"/>
      <c r="F8" s="37"/>
      <c r="G8" s="5" t="s">
        <v>174</v>
      </c>
      <c r="H8" s="16">
        <v>699.9</v>
      </c>
      <c r="I8" s="17">
        <f t="shared" si="0"/>
        <v>699.9</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44</v>
      </c>
      <c r="C3" s="36" t="s">
        <v>7</v>
      </c>
      <c r="D3" s="36">
        <v>2</v>
      </c>
      <c r="E3" s="37">
        <f>IF(C20&lt;=25%,D20,MIN(E20:F20))</f>
        <v>450</v>
      </c>
      <c r="F3" s="37">
        <f>MIN(H3:H17)</f>
        <v>305</v>
      </c>
      <c r="G3" s="5" t="s">
        <v>122</v>
      </c>
      <c r="H3" s="16">
        <v>450</v>
      </c>
      <c r="I3" s="17">
        <f>IF(H3="","",(IF($C$20&lt;25%,"n/a",IF(H3&lt;=($D$20+$A$20),H3,"Descartado"))))</f>
        <v>450</v>
      </c>
    </row>
    <row r="4" spans="1:9" x14ac:dyDescent="0.25">
      <c r="A4" s="38"/>
      <c r="B4" s="35"/>
      <c r="C4" s="36"/>
      <c r="D4" s="36"/>
      <c r="E4" s="37"/>
      <c r="F4" s="37"/>
      <c r="G4" s="5" t="s">
        <v>123</v>
      </c>
      <c r="H4" s="16">
        <v>425.7</v>
      </c>
      <c r="I4" s="17">
        <f t="shared" ref="I4:I17" si="0">IF(H4="","",(IF($C$20&lt;25%,"n/a",IF(H4&lt;=($D$20+$A$20),H4,"Descartado"))))</f>
        <v>425.7</v>
      </c>
    </row>
    <row r="5" spans="1:9" x14ac:dyDescent="0.25">
      <c r="A5" s="38"/>
      <c r="B5" s="35"/>
      <c r="C5" s="36"/>
      <c r="D5" s="36"/>
      <c r="E5" s="37"/>
      <c r="F5" s="37"/>
      <c r="G5" s="5" t="s">
        <v>94</v>
      </c>
      <c r="H5" s="16">
        <v>471.67</v>
      </c>
      <c r="I5" s="17">
        <f t="shared" si="0"/>
        <v>471.67</v>
      </c>
    </row>
    <row r="6" spans="1:9" x14ac:dyDescent="0.25">
      <c r="A6" s="38"/>
      <c r="B6" s="35"/>
      <c r="C6" s="36"/>
      <c r="D6" s="36"/>
      <c r="E6" s="37"/>
      <c r="F6" s="37"/>
      <c r="G6" s="5" t="s">
        <v>96</v>
      </c>
      <c r="H6" s="16">
        <v>749.5</v>
      </c>
      <c r="I6" s="17">
        <f t="shared" si="0"/>
        <v>749.5</v>
      </c>
    </row>
    <row r="7" spans="1:9" x14ac:dyDescent="0.25">
      <c r="A7" s="38"/>
      <c r="B7" s="35"/>
      <c r="C7" s="36"/>
      <c r="D7" s="36"/>
      <c r="E7" s="37"/>
      <c r="F7" s="37"/>
      <c r="G7" s="5" t="s">
        <v>124</v>
      </c>
      <c r="H7" s="16">
        <v>4000</v>
      </c>
      <c r="I7" s="17" t="str">
        <f t="shared" si="0"/>
        <v>Descartado</v>
      </c>
    </row>
    <row r="8" spans="1:9" x14ac:dyDescent="0.25">
      <c r="A8" s="38"/>
      <c r="B8" s="35"/>
      <c r="C8" s="36"/>
      <c r="D8" s="36"/>
      <c r="E8" s="37"/>
      <c r="F8" s="37"/>
      <c r="G8" s="5" t="s">
        <v>125</v>
      </c>
      <c r="H8" s="16">
        <v>305</v>
      </c>
      <c r="I8" s="17">
        <f t="shared" si="0"/>
        <v>305</v>
      </c>
    </row>
    <row r="9" spans="1:9" x14ac:dyDescent="0.25">
      <c r="A9" s="38"/>
      <c r="B9" s="35"/>
      <c r="C9" s="36"/>
      <c r="D9" s="36"/>
      <c r="E9" s="37"/>
      <c r="F9" s="37"/>
      <c r="G9" s="5" t="s">
        <v>164</v>
      </c>
      <c r="H9" s="16">
        <v>441</v>
      </c>
      <c r="I9" s="17">
        <f t="shared" si="0"/>
        <v>441</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45</v>
      </c>
      <c r="C3" s="36" t="s">
        <v>7</v>
      </c>
      <c r="D3" s="36">
        <v>1</v>
      </c>
      <c r="E3" s="37">
        <f>IF(C20&lt;=25%,D20,MIN(E20:F20))</f>
        <v>793.68</v>
      </c>
      <c r="F3" s="37">
        <f>MIN(H3:H17)</f>
        <v>747.75</v>
      </c>
      <c r="G3" s="5" t="s">
        <v>126</v>
      </c>
      <c r="H3" s="16">
        <v>839.6</v>
      </c>
      <c r="I3" s="17">
        <f>IF(H3="","",(IF($C$20&lt;25%,"n/a",IF(H3&lt;=($D$20+$A$20),H3,"Descartado"))))</f>
        <v>839.6</v>
      </c>
    </row>
    <row r="4" spans="1:9" x14ac:dyDescent="0.25">
      <c r="A4" s="38"/>
      <c r="B4" s="35"/>
      <c r="C4" s="36"/>
      <c r="D4" s="36"/>
      <c r="E4" s="37"/>
      <c r="F4" s="37"/>
      <c r="G4" s="5" t="s">
        <v>127</v>
      </c>
      <c r="H4" s="16">
        <v>747.75</v>
      </c>
      <c r="I4" s="17">
        <f t="shared" ref="I4:I17" si="0">IF(H4="","",(IF($C$20&lt;25%,"n/a",IF(H4&lt;=($D$20+$A$20),H4,"Descartado"))))</f>
        <v>747.75</v>
      </c>
    </row>
    <row r="5" spans="1:9" x14ac:dyDescent="0.25">
      <c r="A5" s="38"/>
      <c r="B5" s="35"/>
      <c r="C5" s="36"/>
      <c r="D5" s="36"/>
      <c r="E5" s="37"/>
      <c r="F5" s="37"/>
      <c r="G5" s="5" t="s">
        <v>164</v>
      </c>
      <c r="H5" s="16">
        <v>1201.19</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46</v>
      </c>
      <c r="C3" s="36" t="s">
        <v>7</v>
      </c>
      <c r="D3" s="36">
        <v>1</v>
      </c>
      <c r="E3" s="37">
        <f>IF(C20&lt;=25%,D20,MIN(E20:F20))</f>
        <v>2798</v>
      </c>
      <c r="F3" s="37">
        <f>MIN(H3:H17)</f>
        <v>1999</v>
      </c>
      <c r="G3" s="5" t="s">
        <v>128</v>
      </c>
      <c r="H3" s="16">
        <v>43500</v>
      </c>
      <c r="I3" s="17" t="str">
        <f>IF(H3="","",(IF($C$20&lt;25%,"n/a",IF(H3&lt;=($D$20+$A$20),H3,"Descartado"))))</f>
        <v>Descartado</v>
      </c>
    </row>
    <row r="4" spans="1:9" x14ac:dyDescent="0.25">
      <c r="A4" s="38"/>
      <c r="B4" s="35"/>
      <c r="C4" s="36"/>
      <c r="D4" s="36"/>
      <c r="E4" s="37"/>
      <c r="F4" s="37"/>
      <c r="G4" s="5" t="s">
        <v>129</v>
      </c>
      <c r="H4" s="16">
        <v>3750</v>
      </c>
      <c r="I4" s="17">
        <f t="shared" ref="I4:I17" si="0">IF(H4="","",(IF($C$20&lt;25%,"n/a",IF(H4&lt;=($D$20+$A$20),H4,"Descartado"))))</f>
        <v>3750</v>
      </c>
    </row>
    <row r="5" spans="1:9" x14ac:dyDescent="0.25">
      <c r="A5" s="38"/>
      <c r="B5" s="35"/>
      <c r="C5" s="36"/>
      <c r="D5" s="36"/>
      <c r="E5" s="37"/>
      <c r="F5" s="37"/>
      <c r="G5" s="5" t="s">
        <v>130</v>
      </c>
      <c r="H5" s="16">
        <v>2000</v>
      </c>
      <c r="I5" s="17">
        <f t="shared" si="0"/>
        <v>2000</v>
      </c>
    </row>
    <row r="6" spans="1:9" x14ac:dyDescent="0.25">
      <c r="A6" s="38"/>
      <c r="B6" s="35"/>
      <c r="C6" s="36"/>
      <c r="D6" s="36"/>
      <c r="E6" s="37"/>
      <c r="F6" s="37"/>
      <c r="G6" s="5" t="s">
        <v>131</v>
      </c>
      <c r="H6" s="16">
        <v>19250</v>
      </c>
      <c r="I6" s="17">
        <f t="shared" si="0"/>
        <v>19250</v>
      </c>
    </row>
    <row r="7" spans="1:9" x14ac:dyDescent="0.25">
      <c r="A7" s="38"/>
      <c r="B7" s="35"/>
      <c r="C7" s="36"/>
      <c r="D7" s="36"/>
      <c r="E7" s="37"/>
      <c r="F7" s="37"/>
      <c r="G7" s="5" t="s">
        <v>163</v>
      </c>
      <c r="H7" s="16">
        <v>2778.37</v>
      </c>
      <c r="I7" s="17">
        <f t="shared" si="0"/>
        <v>2778.37</v>
      </c>
    </row>
    <row r="8" spans="1:9" x14ac:dyDescent="0.25">
      <c r="A8" s="38"/>
      <c r="B8" s="35"/>
      <c r="C8" s="36"/>
      <c r="D8" s="36"/>
      <c r="E8" s="37"/>
      <c r="F8" s="37"/>
      <c r="G8" s="5" t="s">
        <v>175</v>
      </c>
      <c r="H8" s="16">
        <v>1999</v>
      </c>
      <c r="I8" s="17">
        <f t="shared" si="0"/>
        <v>1999</v>
      </c>
    </row>
    <row r="9" spans="1:9" x14ac:dyDescent="0.25">
      <c r="A9" s="38"/>
      <c r="B9" s="35"/>
      <c r="C9" s="36"/>
      <c r="D9" s="36"/>
      <c r="E9" s="37"/>
      <c r="F9" s="37"/>
      <c r="G9" s="5" t="s">
        <v>176</v>
      </c>
      <c r="H9" s="16">
        <v>2798</v>
      </c>
      <c r="I9" s="17">
        <f t="shared" si="0"/>
        <v>2798</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47</v>
      </c>
      <c r="C3" s="36" t="s">
        <v>7</v>
      </c>
      <c r="D3" s="36">
        <v>1</v>
      </c>
      <c r="E3" s="37">
        <f>IF(C20&lt;=25%,D20,MIN(E20:F20))</f>
        <v>420.75</v>
      </c>
      <c r="F3" s="37">
        <f>MIN(H3:H17)</f>
        <v>259.99</v>
      </c>
      <c r="G3" s="5" t="s">
        <v>132</v>
      </c>
      <c r="H3" s="16">
        <v>277.01</v>
      </c>
      <c r="I3" s="17">
        <f>IF(H3="","",(IF($C$20&lt;25%,"n/a",IF(H3&lt;=($D$20+$A$20),H3,"Descartado"))))</f>
        <v>277.01</v>
      </c>
    </row>
    <row r="4" spans="1:9" x14ac:dyDescent="0.25">
      <c r="A4" s="38"/>
      <c r="B4" s="35"/>
      <c r="C4" s="36"/>
      <c r="D4" s="36"/>
      <c r="E4" s="37"/>
      <c r="F4" s="37"/>
      <c r="G4" s="5" t="s">
        <v>133</v>
      </c>
      <c r="H4" s="16">
        <v>319</v>
      </c>
      <c r="I4" s="17">
        <f t="shared" ref="I4:I17" si="0">IF(H4="","",(IF($C$20&lt;25%,"n/a",IF(H4&lt;=($D$20+$A$20),H4,"Descartado"))))</f>
        <v>319</v>
      </c>
    </row>
    <row r="5" spans="1:9" x14ac:dyDescent="0.25">
      <c r="A5" s="38"/>
      <c r="B5" s="35"/>
      <c r="C5" s="36"/>
      <c r="D5" s="36"/>
      <c r="E5" s="37"/>
      <c r="F5" s="37"/>
      <c r="G5" s="5" t="s">
        <v>134</v>
      </c>
      <c r="H5" s="16">
        <v>308.55</v>
      </c>
      <c r="I5" s="17">
        <f t="shared" si="0"/>
        <v>308.55</v>
      </c>
    </row>
    <row r="6" spans="1:9" x14ac:dyDescent="0.25">
      <c r="A6" s="38"/>
      <c r="B6" s="35"/>
      <c r="C6" s="36"/>
      <c r="D6" s="36"/>
      <c r="E6" s="37"/>
      <c r="F6" s="37"/>
      <c r="G6" s="5" t="s">
        <v>64</v>
      </c>
      <c r="H6" s="16">
        <v>637.03</v>
      </c>
      <c r="I6" s="17">
        <f t="shared" si="0"/>
        <v>637.03</v>
      </c>
    </row>
    <row r="7" spans="1:9" x14ac:dyDescent="0.25">
      <c r="A7" s="38"/>
      <c r="B7" s="35"/>
      <c r="C7" s="36"/>
      <c r="D7" s="36"/>
      <c r="E7" s="37"/>
      <c r="F7" s="37"/>
      <c r="G7" s="5" t="s">
        <v>135</v>
      </c>
      <c r="H7" s="16">
        <v>4678</v>
      </c>
      <c r="I7" s="17" t="str">
        <f t="shared" si="0"/>
        <v>Descartado</v>
      </c>
    </row>
    <row r="8" spans="1:9" x14ac:dyDescent="0.25">
      <c r="A8" s="38"/>
      <c r="B8" s="35"/>
      <c r="C8" s="36"/>
      <c r="D8" s="36"/>
      <c r="E8" s="37"/>
      <c r="F8" s="37"/>
      <c r="G8" s="5" t="s">
        <v>103</v>
      </c>
      <c r="H8" s="16">
        <v>573.75</v>
      </c>
      <c r="I8" s="17">
        <f t="shared" si="0"/>
        <v>573.75</v>
      </c>
    </row>
    <row r="9" spans="1:9" x14ac:dyDescent="0.25">
      <c r="A9" s="38"/>
      <c r="B9" s="35"/>
      <c r="C9" s="36"/>
      <c r="D9" s="36"/>
      <c r="E9" s="37"/>
      <c r="F9" s="37"/>
      <c r="G9" s="5" t="s">
        <v>171</v>
      </c>
      <c r="H9" s="16">
        <v>259.99</v>
      </c>
      <c r="I9" s="17">
        <f t="shared" si="0"/>
        <v>259.99</v>
      </c>
    </row>
    <row r="10" spans="1:9" x14ac:dyDescent="0.25">
      <c r="A10" s="38"/>
      <c r="B10" s="35"/>
      <c r="C10" s="36"/>
      <c r="D10" s="36"/>
      <c r="E10" s="37"/>
      <c r="F10" s="37"/>
      <c r="G10" s="5" t="s">
        <v>177</v>
      </c>
      <c r="H10" s="16">
        <v>569.91</v>
      </c>
      <c r="I10" s="17">
        <f t="shared" si="0"/>
        <v>569.91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48</v>
      </c>
      <c r="C3" s="36" t="s">
        <v>7</v>
      </c>
      <c r="D3" s="36">
        <v>1</v>
      </c>
      <c r="E3" s="37">
        <f>IF(C20&lt;=25%,D20,MIN(E20:F20))</f>
        <v>93.27</v>
      </c>
      <c r="F3" s="37">
        <f>MIN(H3:H17)</f>
        <v>31.88</v>
      </c>
      <c r="G3" s="5" t="s">
        <v>136</v>
      </c>
      <c r="H3" s="16">
        <v>60</v>
      </c>
      <c r="I3" s="17">
        <f>IF(H3="","",(IF($C$20&lt;25%,"n/a",IF(H3&lt;=($D$20+$A$20),H3,"Descartado"))))</f>
        <v>60</v>
      </c>
    </row>
    <row r="4" spans="1:9" x14ac:dyDescent="0.25">
      <c r="A4" s="38"/>
      <c r="B4" s="35"/>
      <c r="C4" s="36"/>
      <c r="D4" s="36"/>
      <c r="E4" s="37"/>
      <c r="F4" s="37"/>
      <c r="G4" s="5" t="s">
        <v>137</v>
      </c>
      <c r="H4" s="16">
        <v>212.4</v>
      </c>
      <c r="I4" s="17">
        <f t="shared" ref="I4:I17" si="0">IF(H4="","",(IF($C$20&lt;25%,"n/a",IF(H4&lt;=($D$20+$A$20),H4,"Descartado"))))</f>
        <v>212.4</v>
      </c>
    </row>
    <row r="5" spans="1:9" x14ac:dyDescent="0.25">
      <c r="A5" s="38"/>
      <c r="B5" s="35"/>
      <c r="C5" s="36"/>
      <c r="D5" s="36"/>
      <c r="E5" s="37"/>
      <c r="F5" s="37"/>
      <c r="G5" s="5" t="s">
        <v>138</v>
      </c>
      <c r="H5" s="16">
        <v>34.99</v>
      </c>
      <c r="I5" s="17">
        <f t="shared" si="0"/>
        <v>34.99</v>
      </c>
    </row>
    <row r="6" spans="1:9" x14ac:dyDescent="0.25">
      <c r="A6" s="38"/>
      <c r="B6" s="35"/>
      <c r="C6" s="36"/>
      <c r="D6" s="36"/>
      <c r="E6" s="37"/>
      <c r="F6" s="37"/>
      <c r="G6" s="5" t="s">
        <v>139</v>
      </c>
      <c r="H6" s="16">
        <v>31.88</v>
      </c>
      <c r="I6" s="17">
        <f t="shared" si="0"/>
        <v>31.88</v>
      </c>
    </row>
    <row r="7" spans="1:9" x14ac:dyDescent="0.25">
      <c r="A7" s="38"/>
      <c r="B7" s="35"/>
      <c r="C7" s="36"/>
      <c r="D7" s="36"/>
      <c r="E7" s="37"/>
      <c r="F7" s="37"/>
      <c r="G7" s="5" t="s">
        <v>140</v>
      </c>
      <c r="H7" s="16">
        <v>157</v>
      </c>
      <c r="I7" s="17">
        <f t="shared" si="0"/>
        <v>157</v>
      </c>
    </row>
    <row r="8" spans="1:9" x14ac:dyDescent="0.25">
      <c r="A8" s="38"/>
      <c r="B8" s="35"/>
      <c r="C8" s="36"/>
      <c r="D8" s="36"/>
      <c r="E8" s="37"/>
      <c r="F8" s="37"/>
      <c r="G8" s="5" t="s">
        <v>141</v>
      </c>
      <c r="H8" s="16">
        <v>32.08</v>
      </c>
      <c r="I8" s="17">
        <f t="shared" si="0"/>
        <v>32.08</v>
      </c>
    </row>
    <row r="9" spans="1:9" x14ac:dyDescent="0.25">
      <c r="A9" s="38"/>
      <c r="B9" s="35"/>
      <c r="C9" s="36"/>
      <c r="D9" s="36"/>
      <c r="E9" s="37"/>
      <c r="F9" s="37"/>
      <c r="G9" s="5" t="s">
        <v>142</v>
      </c>
      <c r="H9" s="16">
        <v>625.9</v>
      </c>
      <c r="I9" s="17" t="str">
        <f t="shared" si="0"/>
        <v>Descartado</v>
      </c>
    </row>
    <row r="10" spans="1:9" x14ac:dyDescent="0.25">
      <c r="A10" s="38"/>
      <c r="B10" s="35"/>
      <c r="C10" s="36"/>
      <c r="D10" s="36"/>
      <c r="E10" s="37"/>
      <c r="F10" s="37"/>
      <c r="G10" s="5" t="s">
        <v>171</v>
      </c>
      <c r="H10" s="16">
        <v>115.87</v>
      </c>
      <c r="I10" s="17">
        <f t="shared" si="0"/>
        <v>115.87</v>
      </c>
    </row>
    <row r="11" spans="1:9" x14ac:dyDescent="0.25">
      <c r="A11" s="38"/>
      <c r="B11" s="35"/>
      <c r="C11" s="36"/>
      <c r="D11" s="36"/>
      <c r="E11" s="37"/>
      <c r="F11" s="37"/>
      <c r="G11" s="5" t="s">
        <v>177</v>
      </c>
      <c r="H11" s="16">
        <v>101.9</v>
      </c>
      <c r="I11" s="17">
        <f t="shared" si="0"/>
        <v>101.9</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49</v>
      </c>
      <c r="C3" s="36" t="s">
        <v>7</v>
      </c>
      <c r="D3" s="36">
        <v>2</v>
      </c>
      <c r="E3" s="37">
        <f>IF(C20&lt;=25%,D20,MIN(E20:F20))</f>
        <v>741.85</v>
      </c>
      <c r="F3" s="37">
        <f>MIN(H3:H17)</f>
        <v>569.99</v>
      </c>
      <c r="G3" s="5" t="s">
        <v>171</v>
      </c>
      <c r="H3" s="16">
        <v>1096.79</v>
      </c>
      <c r="I3" s="17" t="str">
        <f>IF(H3="","",(IF($C$20&lt;25%,"n/a",IF(H3&lt;=($D$20+$A$20),H3,"Descartado"))))</f>
        <v>Descartado</v>
      </c>
    </row>
    <row r="4" spans="1:9" x14ac:dyDescent="0.25">
      <c r="A4" s="38"/>
      <c r="B4" s="35"/>
      <c r="C4" s="36"/>
      <c r="D4" s="36"/>
      <c r="E4" s="37"/>
      <c r="F4" s="37"/>
      <c r="G4" s="5" t="s">
        <v>164</v>
      </c>
      <c r="H4" s="16">
        <v>998.9</v>
      </c>
      <c r="I4" s="17">
        <f t="shared" ref="I4:I17" si="0">IF(H4="","",(IF($C$20&lt;25%,"n/a",IF(H4&lt;=($D$20+$A$20),H4,"Descartado"))))</f>
        <v>998.9</v>
      </c>
    </row>
    <row r="5" spans="1:9" x14ac:dyDescent="0.25">
      <c r="A5" s="38"/>
      <c r="B5" s="35"/>
      <c r="C5" s="36"/>
      <c r="D5" s="36"/>
      <c r="E5" s="37"/>
      <c r="F5" s="37"/>
      <c r="G5" s="5" t="s">
        <v>178</v>
      </c>
      <c r="H5" s="16">
        <v>569.99</v>
      </c>
      <c r="I5" s="17">
        <f t="shared" si="0"/>
        <v>569.99</v>
      </c>
    </row>
    <row r="6" spans="1:9" x14ac:dyDescent="0.25">
      <c r="A6" s="38"/>
      <c r="B6" s="35"/>
      <c r="C6" s="36"/>
      <c r="D6" s="36"/>
      <c r="E6" s="37"/>
      <c r="F6" s="37"/>
      <c r="G6" s="5" t="s">
        <v>179</v>
      </c>
      <c r="H6" s="16">
        <v>599</v>
      </c>
      <c r="I6" s="17">
        <f t="shared" si="0"/>
        <v>599</v>
      </c>
    </row>
    <row r="7" spans="1:9" x14ac:dyDescent="0.25">
      <c r="A7" s="38"/>
      <c r="B7" s="35"/>
      <c r="C7" s="36"/>
      <c r="D7" s="36"/>
      <c r="E7" s="37"/>
      <c r="F7" s="37"/>
      <c r="G7" s="5" t="s">
        <v>180</v>
      </c>
      <c r="H7" s="16">
        <v>799.49</v>
      </c>
      <c r="I7" s="17">
        <f t="shared" si="0"/>
        <v>799.49</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18" sqref="B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215</v>
      </c>
      <c r="C3" s="36" t="s">
        <v>200</v>
      </c>
      <c r="D3" s="36">
        <v>100</v>
      </c>
      <c r="E3" s="37">
        <f>IF(C20&lt;=25%,D20,MIN(E20:F20))</f>
        <v>475.64</v>
      </c>
      <c r="F3" s="37">
        <f>MIN(H3:H17)</f>
        <v>329.9</v>
      </c>
      <c r="G3" s="5" t="s">
        <v>206</v>
      </c>
      <c r="H3" s="16">
        <v>559.59</v>
      </c>
      <c r="I3" s="17" t="str">
        <f>IF(H3="","",(IF($C$20&lt;25%,"n/a",IF(H3&lt;=($D$20+$A$20),H3,"Descartado"))))</f>
        <v>n/a</v>
      </c>
    </row>
    <row r="4" spans="1:9" x14ac:dyDescent="0.25">
      <c r="A4" s="38"/>
      <c r="B4" s="35"/>
      <c r="C4" s="36"/>
      <c r="D4" s="36"/>
      <c r="E4" s="37"/>
      <c r="F4" s="37"/>
      <c r="G4" s="5" t="s">
        <v>171</v>
      </c>
      <c r="H4" s="16">
        <v>539.9</v>
      </c>
      <c r="I4" s="17" t="str">
        <f t="shared" ref="I4:I17" si="0">IF(H4="","",(IF($C$20&lt;25%,"n/a",IF(H4&lt;=($D$20+$A$20),H4,"Descartado"))))</f>
        <v>n/a</v>
      </c>
    </row>
    <row r="5" spans="1:9" x14ac:dyDescent="0.25">
      <c r="A5" s="38"/>
      <c r="B5" s="35"/>
      <c r="C5" s="36"/>
      <c r="D5" s="36"/>
      <c r="E5" s="37"/>
      <c r="F5" s="37"/>
      <c r="G5" s="5" t="s">
        <v>201</v>
      </c>
      <c r="H5" s="16">
        <v>499.99</v>
      </c>
      <c r="I5" s="17" t="str">
        <f t="shared" si="0"/>
        <v>n/a</v>
      </c>
    </row>
    <row r="6" spans="1:9" x14ac:dyDescent="0.25">
      <c r="A6" s="38"/>
      <c r="B6" s="35"/>
      <c r="C6" s="36"/>
      <c r="D6" s="36"/>
      <c r="E6" s="37"/>
      <c r="F6" s="37"/>
      <c r="G6" s="5" t="s">
        <v>207</v>
      </c>
      <c r="H6" s="16">
        <v>564.47</v>
      </c>
      <c r="I6" s="17" t="str">
        <f t="shared" si="0"/>
        <v>n/a</v>
      </c>
    </row>
    <row r="7" spans="1:9" x14ac:dyDescent="0.25">
      <c r="A7" s="38"/>
      <c r="B7" s="35"/>
      <c r="C7" s="36"/>
      <c r="D7" s="36"/>
      <c r="E7" s="37"/>
      <c r="F7" s="37"/>
      <c r="G7" s="5" t="s">
        <v>208</v>
      </c>
      <c r="H7" s="16">
        <v>329.9</v>
      </c>
      <c r="I7" s="17" t="str">
        <f t="shared" si="0"/>
        <v>n/a</v>
      </c>
    </row>
    <row r="8" spans="1:9" x14ac:dyDescent="0.25">
      <c r="A8" s="38"/>
      <c r="B8" s="35"/>
      <c r="C8" s="36"/>
      <c r="D8" s="36"/>
      <c r="E8" s="37"/>
      <c r="F8" s="37"/>
      <c r="G8" s="5" t="s">
        <v>209</v>
      </c>
      <c r="H8" s="16">
        <v>360</v>
      </c>
      <c r="I8" s="17" t="str">
        <f t="shared" si="0"/>
        <v>n/a</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104.18579431317238</v>
      </c>
      <c r="B20" s="8">
        <f>COUNT(H3:H17)</f>
        <v>6</v>
      </c>
      <c r="C20" s="9">
        <f>IF(B20&lt;2,"n/a",(A20/D20))</f>
        <v>0.21904338220749386</v>
      </c>
      <c r="D20" s="10">
        <f>IFERROR(ROUND(AVERAGE(H3:H17),2),"")</f>
        <v>475.64</v>
      </c>
      <c r="E20" s="15" t="str">
        <f>IFERROR(ROUND(IF(B20&lt;2,"n/a",(IF(C20&lt;=25%,"n/a",AVERAGE(I3:I17)))),2),"n/a")</f>
        <v>n/a</v>
      </c>
      <c r="F20" s="10">
        <f>IFERROR(ROUND(MEDIAN(H3:H17),2),"")</f>
        <v>519.95000000000005</v>
      </c>
      <c r="G20" s="11" t="str">
        <f>IFERROR(INDEX(G3:G17,MATCH(H20,H3:H17,0)),"")</f>
        <v>SET COMPUTADORES E SERVICOS LTDA</v>
      </c>
      <c r="H20" s="12">
        <f>F3</f>
        <v>329.9</v>
      </c>
    </row>
    <row r="22" spans="1:9" x14ac:dyDescent="0.25">
      <c r="G22" s="13" t="s">
        <v>20</v>
      </c>
      <c r="H22" s="14">
        <f>IF(C20&lt;=25%,D20,MIN(E20:F20))</f>
        <v>475.64</v>
      </c>
    </row>
    <row r="23" spans="1:9" x14ac:dyDescent="0.25">
      <c r="G23" s="13" t="s">
        <v>6</v>
      </c>
      <c r="H23" s="14">
        <f>ROUND(H22,2)*D3</f>
        <v>47564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50</v>
      </c>
      <c r="C3" s="36" t="s">
        <v>7</v>
      </c>
      <c r="D3" s="36">
        <v>8</v>
      </c>
      <c r="E3" s="37">
        <f>IF(C20&lt;=25%,D20,MIN(E20:F20))</f>
        <v>1288.28</v>
      </c>
      <c r="F3" s="37">
        <f>MIN(H3:H17)</f>
        <v>990</v>
      </c>
      <c r="G3" s="5" t="s">
        <v>181</v>
      </c>
      <c r="H3" s="16">
        <v>990</v>
      </c>
      <c r="I3" s="17" t="str">
        <f>IF(H3="","",(IF($C$20&lt;25%,"n/a",IF(H3&lt;=($D$20+$A$20),H3,"Descartado"))))</f>
        <v>n/a</v>
      </c>
    </row>
    <row r="4" spans="1:9" x14ac:dyDescent="0.25">
      <c r="A4" s="38"/>
      <c r="B4" s="35"/>
      <c r="C4" s="36"/>
      <c r="D4" s="36"/>
      <c r="E4" s="37"/>
      <c r="F4" s="37"/>
      <c r="G4" s="5" t="s">
        <v>182</v>
      </c>
      <c r="H4" s="16">
        <v>1399</v>
      </c>
      <c r="I4" s="17" t="str">
        <f t="shared" ref="I4:I17" si="0">IF(H4="","",(IF($C$20&lt;25%,"n/a",IF(H4&lt;=($D$20+$A$20),H4,"Descartado"))))</f>
        <v>n/a</v>
      </c>
    </row>
    <row r="5" spans="1:9" x14ac:dyDescent="0.25">
      <c r="A5" s="38"/>
      <c r="B5" s="35"/>
      <c r="C5" s="36"/>
      <c r="D5" s="36"/>
      <c r="E5" s="37"/>
      <c r="F5" s="37"/>
      <c r="G5" s="5" t="s">
        <v>183</v>
      </c>
      <c r="H5" s="16">
        <v>1265.0999999999999</v>
      </c>
      <c r="I5" s="17" t="str">
        <f t="shared" si="0"/>
        <v>n/a</v>
      </c>
    </row>
    <row r="6" spans="1:9" x14ac:dyDescent="0.25">
      <c r="A6" s="38"/>
      <c r="B6" s="35"/>
      <c r="C6" s="36"/>
      <c r="D6" s="36"/>
      <c r="E6" s="37"/>
      <c r="F6" s="37"/>
      <c r="G6" s="5" t="s">
        <v>184</v>
      </c>
      <c r="H6" s="16">
        <v>1499</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51</v>
      </c>
      <c r="C3" s="36" t="s">
        <v>7</v>
      </c>
      <c r="D3" s="36">
        <v>2</v>
      </c>
      <c r="E3" s="37">
        <f>IF(C20&lt;=25%,D20,MIN(E20:F20))</f>
        <v>454.84</v>
      </c>
      <c r="F3" s="37">
        <f>MIN(H3:H17)</f>
        <v>136</v>
      </c>
      <c r="G3" s="5" t="s">
        <v>143</v>
      </c>
      <c r="H3" s="16">
        <v>136</v>
      </c>
      <c r="I3" s="17">
        <f>IF(H3="","",(IF($C$20&lt;25%,"n/a",IF(H3&lt;=($D$20+$A$20),H3,"Descartado"))))</f>
        <v>136</v>
      </c>
    </row>
    <row r="4" spans="1:9" x14ac:dyDescent="0.25">
      <c r="A4" s="38"/>
      <c r="B4" s="35"/>
      <c r="C4" s="36"/>
      <c r="D4" s="36"/>
      <c r="E4" s="37"/>
      <c r="F4" s="37"/>
      <c r="G4" s="5" t="s">
        <v>144</v>
      </c>
      <c r="H4" s="16">
        <v>200</v>
      </c>
      <c r="I4" s="17">
        <f t="shared" ref="I4:I17" si="0">IF(H4="","",(IF($C$20&lt;25%,"n/a",IF(H4&lt;=($D$20+$A$20),H4,"Descartado"))))</f>
        <v>200</v>
      </c>
    </row>
    <row r="5" spans="1:9" x14ac:dyDescent="0.25">
      <c r="A5" s="38"/>
      <c r="B5" s="35"/>
      <c r="C5" s="36"/>
      <c r="D5" s="36"/>
      <c r="E5" s="37"/>
      <c r="F5" s="37"/>
      <c r="G5" s="5" t="s">
        <v>145</v>
      </c>
      <c r="H5" s="16">
        <v>300.99</v>
      </c>
      <c r="I5" s="17">
        <f t="shared" si="0"/>
        <v>300.99</v>
      </c>
    </row>
    <row r="6" spans="1:9" x14ac:dyDescent="0.25">
      <c r="A6" s="38"/>
      <c r="B6" s="35"/>
      <c r="C6" s="36"/>
      <c r="D6" s="36"/>
      <c r="E6" s="37"/>
      <c r="F6" s="37"/>
      <c r="G6" s="5" t="s">
        <v>146</v>
      </c>
      <c r="H6" s="16">
        <v>455</v>
      </c>
      <c r="I6" s="17">
        <f t="shared" si="0"/>
        <v>455</v>
      </c>
    </row>
    <row r="7" spans="1:9" x14ac:dyDescent="0.25">
      <c r="A7" s="38"/>
      <c r="B7" s="35"/>
      <c r="C7" s="36"/>
      <c r="D7" s="36"/>
      <c r="E7" s="37"/>
      <c r="F7" s="37"/>
      <c r="G7" s="5" t="s">
        <v>71</v>
      </c>
      <c r="H7" s="16">
        <v>554</v>
      </c>
      <c r="I7" s="17">
        <f t="shared" si="0"/>
        <v>554</v>
      </c>
    </row>
    <row r="8" spans="1:9" x14ac:dyDescent="0.25">
      <c r="A8" s="38"/>
      <c r="B8" s="35"/>
      <c r="C8" s="36"/>
      <c r="D8" s="36"/>
      <c r="E8" s="37"/>
      <c r="F8" s="37"/>
      <c r="G8" s="5" t="s">
        <v>126</v>
      </c>
      <c r="H8" s="16">
        <v>650.94000000000005</v>
      </c>
      <c r="I8" s="17">
        <f t="shared" si="0"/>
        <v>650.94000000000005</v>
      </c>
    </row>
    <row r="9" spans="1:9" x14ac:dyDescent="0.25">
      <c r="A9" s="38"/>
      <c r="B9" s="35"/>
      <c r="C9" s="36"/>
      <c r="D9" s="36"/>
      <c r="E9" s="37"/>
      <c r="F9" s="37"/>
      <c r="G9" s="5" t="s">
        <v>147</v>
      </c>
      <c r="H9" s="16">
        <v>683.75</v>
      </c>
      <c r="I9" s="17">
        <f t="shared" si="0"/>
        <v>683.75</v>
      </c>
    </row>
    <row r="10" spans="1:9" x14ac:dyDescent="0.25">
      <c r="A10" s="38"/>
      <c r="B10" s="35"/>
      <c r="C10" s="36"/>
      <c r="D10" s="36"/>
      <c r="E10" s="37"/>
      <c r="F10" s="37"/>
      <c r="G10" s="5" t="s">
        <v>148</v>
      </c>
      <c r="H10" s="16">
        <v>687</v>
      </c>
      <c r="I10" s="17">
        <f t="shared" si="0"/>
        <v>687</v>
      </c>
    </row>
    <row r="11" spans="1:9" x14ac:dyDescent="0.25">
      <c r="A11" s="38"/>
      <c r="B11" s="35"/>
      <c r="C11" s="36"/>
      <c r="D11" s="36"/>
      <c r="E11" s="37"/>
      <c r="F11" s="37"/>
      <c r="G11" s="5" t="s">
        <v>185</v>
      </c>
      <c r="H11" s="16">
        <v>565.11</v>
      </c>
      <c r="I11" s="17">
        <f t="shared" si="0"/>
        <v>565.11</v>
      </c>
    </row>
    <row r="12" spans="1:9" x14ac:dyDescent="0.25">
      <c r="A12" s="38"/>
      <c r="B12" s="35"/>
      <c r="C12" s="36"/>
      <c r="D12" s="36"/>
      <c r="E12" s="37"/>
      <c r="F12" s="37"/>
      <c r="G12" s="5" t="s">
        <v>161</v>
      </c>
      <c r="H12" s="16">
        <v>750</v>
      </c>
      <c r="I12" s="17" t="str">
        <f t="shared" si="0"/>
        <v>Descartado</v>
      </c>
    </row>
    <row r="13" spans="1:9" x14ac:dyDescent="0.25">
      <c r="A13" s="38"/>
      <c r="B13" s="35"/>
      <c r="C13" s="36"/>
      <c r="D13" s="36"/>
      <c r="E13" s="37"/>
      <c r="F13" s="37"/>
      <c r="G13" s="5" t="s">
        <v>186</v>
      </c>
      <c r="H13" s="16">
        <v>197.99</v>
      </c>
      <c r="I13" s="17">
        <f t="shared" si="0"/>
        <v>197.99</v>
      </c>
    </row>
    <row r="14" spans="1:9" x14ac:dyDescent="0.25">
      <c r="A14" s="38"/>
      <c r="B14" s="35"/>
      <c r="C14" s="36"/>
      <c r="D14" s="36"/>
      <c r="E14" s="37"/>
      <c r="F14" s="37"/>
      <c r="G14" s="5" t="s">
        <v>187</v>
      </c>
      <c r="H14" s="16">
        <v>572.5</v>
      </c>
      <c r="I14" s="17">
        <f t="shared" si="0"/>
        <v>572.5</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52</v>
      </c>
      <c r="C3" s="36" t="s">
        <v>7</v>
      </c>
      <c r="D3" s="36">
        <v>15</v>
      </c>
      <c r="E3" s="37">
        <f>IF(C20&lt;=25%,D20,MIN(E20:F20))</f>
        <v>1692.18</v>
      </c>
      <c r="F3" s="37">
        <f>MIN(H3:H17)</f>
        <v>900.9</v>
      </c>
      <c r="G3" s="5" t="s">
        <v>121</v>
      </c>
      <c r="H3" s="16">
        <v>900.9</v>
      </c>
      <c r="I3" s="17">
        <f>IF(H3="","",(IF($C$20&lt;25%,"n/a",IF(H3&lt;=($D$20+$A$20),H3,"Descartado"))))</f>
        <v>900.9</v>
      </c>
    </row>
    <row r="4" spans="1:9" x14ac:dyDescent="0.25">
      <c r="A4" s="38"/>
      <c r="B4" s="35"/>
      <c r="C4" s="36"/>
      <c r="D4" s="36"/>
      <c r="E4" s="37"/>
      <c r="F4" s="37"/>
      <c r="G4" s="5" t="s">
        <v>149</v>
      </c>
      <c r="H4" s="16">
        <v>1650</v>
      </c>
      <c r="I4" s="17">
        <f t="shared" ref="I4:I17" si="0">IF(H4="","",(IF($C$20&lt;25%,"n/a",IF(H4&lt;=($D$20+$A$20),H4,"Descartado"))))</f>
        <v>1650</v>
      </c>
    </row>
    <row r="5" spans="1:9" x14ac:dyDescent="0.25">
      <c r="A5" s="38"/>
      <c r="B5" s="35"/>
      <c r="C5" s="36"/>
      <c r="D5" s="36"/>
      <c r="E5" s="37"/>
      <c r="F5" s="37"/>
      <c r="G5" s="5" t="s">
        <v>130</v>
      </c>
      <c r="H5" s="16">
        <v>2399</v>
      </c>
      <c r="I5" s="17">
        <f t="shared" si="0"/>
        <v>2399</v>
      </c>
    </row>
    <row r="6" spans="1:9" x14ac:dyDescent="0.25">
      <c r="A6" s="38"/>
      <c r="B6" s="35"/>
      <c r="C6" s="36"/>
      <c r="D6" s="36"/>
      <c r="E6" s="37"/>
      <c r="F6" s="37"/>
      <c r="G6" s="5" t="s">
        <v>150</v>
      </c>
      <c r="H6" s="16">
        <v>3034</v>
      </c>
      <c r="I6" s="17" t="str">
        <f t="shared" si="0"/>
        <v>Descartado</v>
      </c>
    </row>
    <row r="7" spans="1:9" x14ac:dyDescent="0.25">
      <c r="A7" s="38"/>
      <c r="B7" s="35"/>
      <c r="C7" s="36"/>
      <c r="D7" s="36"/>
      <c r="E7" s="37"/>
      <c r="F7" s="37"/>
      <c r="G7" s="5" t="s">
        <v>188</v>
      </c>
      <c r="H7" s="16">
        <v>2019</v>
      </c>
      <c r="I7" s="17">
        <f t="shared" si="0"/>
        <v>2019</v>
      </c>
    </row>
    <row r="8" spans="1:9" x14ac:dyDescent="0.25">
      <c r="A8" s="38"/>
      <c r="B8" s="35"/>
      <c r="C8" s="36"/>
      <c r="D8" s="36"/>
      <c r="E8" s="37"/>
      <c r="F8" s="37"/>
      <c r="G8" s="5" t="s">
        <v>189</v>
      </c>
      <c r="H8" s="16">
        <v>1492</v>
      </c>
      <c r="I8" s="17">
        <f t="shared" si="0"/>
        <v>1492</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53</v>
      </c>
      <c r="C3" s="36" t="s">
        <v>7</v>
      </c>
      <c r="D3" s="36">
        <v>1</v>
      </c>
      <c r="E3" s="37">
        <f>IF(C20&lt;=25%,D20,MIN(E20:F20))</f>
        <v>2269.12</v>
      </c>
      <c r="F3" s="37">
        <f>MIN(H3:H17)</f>
        <v>1299</v>
      </c>
      <c r="G3" s="5" t="s">
        <v>151</v>
      </c>
      <c r="H3" s="16">
        <v>1299</v>
      </c>
      <c r="I3" s="17">
        <f>IF(H3="","",(IF($C$20&lt;25%,"n/a",IF(H3&lt;=($D$20+$A$20),H3,"Descartado"))))</f>
        <v>1299</v>
      </c>
    </row>
    <row r="4" spans="1:9" x14ac:dyDescent="0.25">
      <c r="A4" s="38"/>
      <c r="B4" s="35"/>
      <c r="C4" s="36"/>
      <c r="D4" s="36"/>
      <c r="E4" s="37"/>
      <c r="F4" s="37"/>
      <c r="G4" s="5" t="s">
        <v>92</v>
      </c>
      <c r="H4" s="16">
        <v>1689</v>
      </c>
      <c r="I4" s="17">
        <f t="shared" ref="I4:I17" si="0">IF(H4="","",(IF($C$20&lt;25%,"n/a",IF(H4&lt;=($D$20+$A$20),H4,"Descartado"))))</f>
        <v>1689</v>
      </c>
    </row>
    <row r="5" spans="1:9" x14ac:dyDescent="0.25">
      <c r="A5" s="38"/>
      <c r="B5" s="35"/>
      <c r="C5" s="36"/>
      <c r="D5" s="36"/>
      <c r="E5" s="37"/>
      <c r="F5" s="37"/>
      <c r="G5" s="5" t="s">
        <v>123</v>
      </c>
      <c r="H5" s="16">
        <v>4779.97</v>
      </c>
      <c r="I5" s="17" t="str">
        <f t="shared" si="0"/>
        <v>Descartado</v>
      </c>
    </row>
    <row r="6" spans="1:9" x14ac:dyDescent="0.25">
      <c r="A6" s="38"/>
      <c r="B6" s="35"/>
      <c r="C6" s="36"/>
      <c r="D6" s="36"/>
      <c r="E6" s="37"/>
      <c r="F6" s="37"/>
      <c r="G6" s="5" t="s">
        <v>152</v>
      </c>
      <c r="H6" s="16">
        <v>4768</v>
      </c>
      <c r="I6" s="17" t="str">
        <f t="shared" si="0"/>
        <v>Descartado</v>
      </c>
    </row>
    <row r="7" spans="1:9" x14ac:dyDescent="0.25">
      <c r="A7" s="38"/>
      <c r="B7" s="35"/>
      <c r="C7" s="36"/>
      <c r="D7" s="36"/>
      <c r="E7" s="37"/>
      <c r="F7" s="37"/>
      <c r="G7" s="5" t="s">
        <v>190</v>
      </c>
      <c r="H7" s="16">
        <v>2249.1</v>
      </c>
      <c r="I7" s="17">
        <f t="shared" si="0"/>
        <v>2249.1</v>
      </c>
    </row>
    <row r="8" spans="1:9" x14ac:dyDescent="0.25">
      <c r="A8" s="38"/>
      <c r="B8" s="35"/>
      <c r="C8" s="36"/>
      <c r="D8" s="36"/>
      <c r="E8" s="37"/>
      <c r="F8" s="37"/>
      <c r="G8" s="5" t="s">
        <v>191</v>
      </c>
      <c r="H8" s="16">
        <v>2554.9899999999998</v>
      </c>
      <c r="I8" s="17">
        <f t="shared" si="0"/>
        <v>2554.9899999999998</v>
      </c>
    </row>
    <row r="9" spans="1:9" x14ac:dyDescent="0.25">
      <c r="A9" s="38"/>
      <c r="B9" s="35"/>
      <c r="C9" s="36"/>
      <c r="D9" s="36"/>
      <c r="E9" s="37"/>
      <c r="F9" s="37"/>
      <c r="G9" s="5" t="s">
        <v>192</v>
      </c>
      <c r="H9" s="16">
        <v>4045.24</v>
      </c>
      <c r="I9" s="17">
        <f t="shared" si="0"/>
        <v>4045.24</v>
      </c>
    </row>
    <row r="10" spans="1:9" x14ac:dyDescent="0.25">
      <c r="A10" s="38"/>
      <c r="B10" s="35"/>
      <c r="C10" s="36"/>
      <c r="D10" s="36"/>
      <c r="E10" s="37"/>
      <c r="F10" s="37"/>
      <c r="G10" s="5" t="s">
        <v>193</v>
      </c>
      <c r="H10" s="16">
        <v>1777.41</v>
      </c>
      <c r="I10" s="17">
        <f t="shared" si="0"/>
        <v>1777.41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54</v>
      </c>
      <c r="C3" s="36" t="s">
        <v>7</v>
      </c>
      <c r="D3" s="36">
        <v>6</v>
      </c>
      <c r="E3" s="37">
        <f>IF(C20&lt;=25%,D20,MIN(E20:F20))</f>
        <v>150.47</v>
      </c>
      <c r="F3" s="37">
        <f>MIN(H3:H17)</f>
        <v>116.55</v>
      </c>
      <c r="G3" s="5" t="s">
        <v>171</v>
      </c>
      <c r="H3" s="16">
        <v>116.55</v>
      </c>
      <c r="I3" s="17" t="str">
        <f>IF(H3="","",(IF($C$20&lt;25%,"n/a",IF(H3&lt;=($D$20+$A$20),H3,"Descartado"))))</f>
        <v>n/a</v>
      </c>
    </row>
    <row r="4" spans="1:9" x14ac:dyDescent="0.25">
      <c r="A4" s="38"/>
      <c r="B4" s="35"/>
      <c r="C4" s="36"/>
      <c r="D4" s="36"/>
      <c r="E4" s="37"/>
      <c r="F4" s="37"/>
      <c r="G4" s="5" t="s">
        <v>177</v>
      </c>
      <c r="H4" s="16">
        <v>189.9</v>
      </c>
      <c r="I4" s="17" t="str">
        <f t="shared" ref="I4:I17" si="0">IF(H4="","",(IF($C$20&lt;25%,"n/a",IF(H4&lt;=($D$20+$A$20),H4,"Descartado"))))</f>
        <v>n/a</v>
      </c>
    </row>
    <row r="5" spans="1:9" x14ac:dyDescent="0.25">
      <c r="A5" s="38"/>
      <c r="B5" s="35"/>
      <c r="C5" s="36"/>
      <c r="D5" s="36"/>
      <c r="E5" s="37"/>
      <c r="F5" s="37"/>
      <c r="G5" s="5" t="s">
        <v>194</v>
      </c>
      <c r="H5" s="16">
        <v>144.94999999999999</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55</v>
      </c>
      <c r="C3" s="36" t="s">
        <v>7</v>
      </c>
      <c r="D3" s="36">
        <v>2</v>
      </c>
      <c r="E3" s="37">
        <f>IF(C20&lt;=25%,D20,MIN(E20:F20))</f>
        <v>701.53</v>
      </c>
      <c r="F3" s="37">
        <f>MIN(H3:H17)</f>
        <v>549</v>
      </c>
      <c r="G3" s="5" t="s">
        <v>195</v>
      </c>
      <c r="H3" s="16">
        <v>549</v>
      </c>
      <c r="I3" s="17">
        <f>IF(H3="","",(IF($C$20&lt;25%,"n/a",IF(H3&lt;=($D$20+$A$20),H3,"Descartado"))))</f>
        <v>549</v>
      </c>
    </row>
    <row r="4" spans="1:9" x14ac:dyDescent="0.25">
      <c r="A4" s="38"/>
      <c r="B4" s="35"/>
      <c r="C4" s="36"/>
      <c r="D4" s="36"/>
      <c r="E4" s="37"/>
      <c r="F4" s="37"/>
      <c r="G4" s="5" t="s">
        <v>171</v>
      </c>
      <c r="H4" s="16">
        <v>679.9</v>
      </c>
      <c r="I4" s="17">
        <f t="shared" ref="I4:I17" si="0">IF(H4="","",(IF($C$20&lt;25%,"n/a",IF(H4&lt;=($D$20+$A$20),H4,"Descartado"))))</f>
        <v>679.9</v>
      </c>
    </row>
    <row r="5" spans="1:9" x14ac:dyDescent="0.25">
      <c r="A5" s="38"/>
      <c r="B5" s="35"/>
      <c r="C5" s="36"/>
      <c r="D5" s="36"/>
      <c r="E5" s="37"/>
      <c r="F5" s="37"/>
      <c r="G5" s="5" t="s">
        <v>164</v>
      </c>
      <c r="H5" s="16">
        <v>998</v>
      </c>
      <c r="I5" s="17" t="str">
        <f t="shared" si="0"/>
        <v>Descartado</v>
      </c>
    </row>
    <row r="6" spans="1:9" x14ac:dyDescent="0.25">
      <c r="A6" s="38"/>
      <c r="B6" s="35"/>
      <c r="C6" s="36"/>
      <c r="D6" s="36"/>
      <c r="E6" s="37"/>
      <c r="F6" s="37"/>
      <c r="G6" s="5" t="s">
        <v>196</v>
      </c>
      <c r="H6" s="16">
        <v>875.69</v>
      </c>
      <c r="I6" s="17">
        <f t="shared" si="0"/>
        <v>875.69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56</v>
      </c>
      <c r="C3" s="36" t="s">
        <v>7</v>
      </c>
      <c r="D3" s="36">
        <v>4</v>
      </c>
      <c r="E3" s="37">
        <f>IF(C20&lt;=25%,D20,MIN(E20:F20))</f>
        <v>314.5</v>
      </c>
      <c r="F3" s="37">
        <f>MIN(H3:H17)</f>
        <v>149.97</v>
      </c>
      <c r="G3" s="5" t="s">
        <v>153</v>
      </c>
      <c r="H3" s="16">
        <v>1257</v>
      </c>
      <c r="I3" s="17" t="str">
        <f>IF(H3="","",(IF($C$20&lt;25%,"n/a",IF(H3&lt;=($D$20+$A$20),H3,"Descartado"))))</f>
        <v>Descartado</v>
      </c>
    </row>
    <row r="4" spans="1:9" x14ac:dyDescent="0.25">
      <c r="A4" s="38"/>
      <c r="B4" s="35"/>
      <c r="C4" s="36"/>
      <c r="D4" s="36"/>
      <c r="E4" s="37"/>
      <c r="F4" s="37"/>
      <c r="G4" s="5" t="s">
        <v>92</v>
      </c>
      <c r="H4" s="16">
        <v>160</v>
      </c>
      <c r="I4" s="17">
        <f t="shared" ref="I4:I17" si="0">IF(H4="","",(IF($C$20&lt;25%,"n/a",IF(H4&lt;=($D$20+$A$20),H4,"Descartado"))))</f>
        <v>160</v>
      </c>
    </row>
    <row r="5" spans="1:9" x14ac:dyDescent="0.25">
      <c r="A5" s="38"/>
      <c r="B5" s="35"/>
      <c r="C5" s="36"/>
      <c r="D5" s="36"/>
      <c r="E5" s="37"/>
      <c r="F5" s="37"/>
      <c r="G5" s="5" t="s">
        <v>154</v>
      </c>
      <c r="H5" s="16">
        <v>330</v>
      </c>
      <c r="I5" s="17">
        <f t="shared" si="0"/>
        <v>330</v>
      </c>
    </row>
    <row r="6" spans="1:9" x14ac:dyDescent="0.25">
      <c r="A6" s="38"/>
      <c r="B6" s="35"/>
      <c r="C6" s="36"/>
      <c r="D6" s="36"/>
      <c r="E6" s="37"/>
      <c r="F6" s="37"/>
      <c r="G6" s="5" t="s">
        <v>100</v>
      </c>
      <c r="H6" s="16">
        <v>259</v>
      </c>
      <c r="I6" s="17">
        <f t="shared" si="0"/>
        <v>259</v>
      </c>
    </row>
    <row r="7" spans="1:9" x14ac:dyDescent="0.25">
      <c r="A7" s="38"/>
      <c r="B7" s="35"/>
      <c r="C7" s="36"/>
      <c r="D7" s="36"/>
      <c r="E7" s="37"/>
      <c r="F7" s="37"/>
      <c r="G7" s="5" t="s">
        <v>106</v>
      </c>
      <c r="H7" s="16">
        <v>1000</v>
      </c>
      <c r="I7" s="17">
        <f t="shared" si="0"/>
        <v>1000</v>
      </c>
    </row>
    <row r="8" spans="1:9" x14ac:dyDescent="0.25">
      <c r="A8" s="38"/>
      <c r="B8" s="35"/>
      <c r="C8" s="36"/>
      <c r="D8" s="36"/>
      <c r="E8" s="37"/>
      <c r="F8" s="37"/>
      <c r="G8" s="5" t="s">
        <v>155</v>
      </c>
      <c r="H8" s="16">
        <v>177.5</v>
      </c>
      <c r="I8" s="17">
        <f t="shared" si="0"/>
        <v>177.5</v>
      </c>
    </row>
    <row r="9" spans="1:9" x14ac:dyDescent="0.25">
      <c r="A9" s="38"/>
      <c r="B9" s="35"/>
      <c r="C9" s="36"/>
      <c r="D9" s="36"/>
      <c r="E9" s="37"/>
      <c r="F9" s="37"/>
      <c r="G9" s="5" t="s">
        <v>94</v>
      </c>
      <c r="H9" s="16">
        <v>160</v>
      </c>
      <c r="I9" s="17">
        <f t="shared" si="0"/>
        <v>160</v>
      </c>
    </row>
    <row r="10" spans="1:9" x14ac:dyDescent="0.25">
      <c r="A10" s="38"/>
      <c r="B10" s="35"/>
      <c r="C10" s="36"/>
      <c r="D10" s="36"/>
      <c r="E10" s="37"/>
      <c r="F10" s="37"/>
      <c r="G10" s="5" t="s">
        <v>156</v>
      </c>
      <c r="H10" s="16">
        <v>1342</v>
      </c>
      <c r="I10" s="17" t="str">
        <f t="shared" si="0"/>
        <v>Descartado</v>
      </c>
    </row>
    <row r="11" spans="1:9" x14ac:dyDescent="0.25">
      <c r="A11" s="38"/>
      <c r="B11" s="35"/>
      <c r="C11" s="36"/>
      <c r="D11" s="36"/>
      <c r="E11" s="37"/>
      <c r="F11" s="37"/>
      <c r="G11" s="5" t="s">
        <v>157</v>
      </c>
      <c r="H11" s="16">
        <v>1650</v>
      </c>
      <c r="I11" s="17" t="str">
        <f t="shared" si="0"/>
        <v>Descartado</v>
      </c>
    </row>
    <row r="12" spans="1:9" x14ac:dyDescent="0.25">
      <c r="A12" s="38"/>
      <c r="B12" s="35"/>
      <c r="C12" s="36"/>
      <c r="D12" s="36"/>
      <c r="E12" s="37"/>
      <c r="F12" s="37"/>
      <c r="G12" s="5" t="s">
        <v>125</v>
      </c>
      <c r="H12" s="16">
        <v>149.97</v>
      </c>
      <c r="I12" s="17">
        <f t="shared" si="0"/>
        <v>149.97</v>
      </c>
    </row>
    <row r="13" spans="1:9" x14ac:dyDescent="0.25">
      <c r="A13" s="38"/>
      <c r="B13" s="35"/>
      <c r="C13" s="36"/>
      <c r="D13" s="36"/>
      <c r="E13" s="37"/>
      <c r="F13" s="37"/>
      <c r="G13" s="5" t="s">
        <v>188</v>
      </c>
      <c r="H13" s="16">
        <v>299</v>
      </c>
      <c r="I13" s="17">
        <f t="shared" si="0"/>
        <v>299</v>
      </c>
    </row>
    <row r="14" spans="1:9" x14ac:dyDescent="0.25">
      <c r="A14" s="38"/>
      <c r="B14" s="35"/>
      <c r="C14" s="36"/>
      <c r="D14" s="36"/>
      <c r="E14" s="37"/>
      <c r="F14" s="37"/>
      <c r="G14" s="5" t="s">
        <v>197</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57</v>
      </c>
      <c r="C3" s="36" t="s">
        <v>7</v>
      </c>
      <c r="D3" s="36">
        <v>2</v>
      </c>
      <c r="E3" s="37">
        <f>IF(C20&lt;=25%,D20,MIN(E20:F20))</f>
        <v>2336.66</v>
      </c>
      <c r="F3" s="37">
        <f>MIN(H3:H17)</f>
        <v>985</v>
      </c>
      <c r="G3" s="5" t="s">
        <v>154</v>
      </c>
      <c r="H3" s="16">
        <v>985</v>
      </c>
      <c r="I3" s="17">
        <f>IF(H3="","",(IF($C$20&lt;25%,"n/a",IF(H3&lt;=($D$20+$A$20),H3,"Descartado"))))</f>
        <v>985</v>
      </c>
    </row>
    <row r="4" spans="1:9" x14ac:dyDescent="0.25">
      <c r="A4" s="38"/>
      <c r="B4" s="35"/>
      <c r="C4" s="36"/>
      <c r="D4" s="36"/>
      <c r="E4" s="37"/>
      <c r="F4" s="37"/>
      <c r="G4" s="5" t="s">
        <v>158</v>
      </c>
      <c r="H4" s="16">
        <v>1750</v>
      </c>
      <c r="I4" s="17">
        <f t="shared" ref="I4:I17" si="0">IF(H4="","",(IF($C$20&lt;25%,"n/a",IF(H4&lt;=($D$20+$A$20),H4,"Descartado"))))</f>
        <v>1750</v>
      </c>
    </row>
    <row r="5" spans="1:9" x14ac:dyDescent="0.25">
      <c r="A5" s="38"/>
      <c r="B5" s="35"/>
      <c r="C5" s="36"/>
      <c r="D5" s="36"/>
      <c r="E5" s="37"/>
      <c r="F5" s="37"/>
      <c r="G5" s="5" t="s">
        <v>159</v>
      </c>
      <c r="H5" s="16">
        <v>3775.12</v>
      </c>
      <c r="I5" s="17" t="str">
        <f t="shared" si="0"/>
        <v>Descartado</v>
      </c>
    </row>
    <row r="6" spans="1:9" x14ac:dyDescent="0.25">
      <c r="A6" s="38"/>
      <c r="B6" s="35"/>
      <c r="C6" s="36"/>
      <c r="D6" s="36"/>
      <c r="E6" s="37"/>
      <c r="F6" s="37"/>
      <c r="G6" s="5" t="s">
        <v>92</v>
      </c>
      <c r="H6" s="16">
        <v>1449.99</v>
      </c>
      <c r="I6" s="17">
        <f t="shared" si="0"/>
        <v>1449.99</v>
      </c>
    </row>
    <row r="7" spans="1:9" x14ac:dyDescent="0.25">
      <c r="A7" s="38"/>
      <c r="B7" s="35"/>
      <c r="C7" s="36"/>
      <c r="D7" s="36"/>
      <c r="E7" s="37"/>
      <c r="F7" s="37"/>
      <c r="G7" s="5" t="s">
        <v>120</v>
      </c>
      <c r="H7" s="16">
        <v>1738.77</v>
      </c>
      <c r="I7" s="17">
        <f t="shared" si="0"/>
        <v>1738.77</v>
      </c>
    </row>
    <row r="8" spans="1:9" x14ac:dyDescent="0.25">
      <c r="A8" s="38"/>
      <c r="B8" s="35"/>
      <c r="C8" s="36"/>
      <c r="D8" s="36"/>
      <c r="E8" s="37"/>
      <c r="F8" s="37"/>
      <c r="G8" s="5" t="s">
        <v>160</v>
      </c>
      <c r="H8" s="16">
        <v>2582</v>
      </c>
      <c r="I8" s="17">
        <f t="shared" si="0"/>
        <v>2582</v>
      </c>
    </row>
    <row r="9" spans="1:9" x14ac:dyDescent="0.25">
      <c r="A9" s="38"/>
      <c r="B9" s="35"/>
      <c r="C9" s="36"/>
      <c r="D9" s="36"/>
      <c r="E9" s="37"/>
      <c r="F9" s="37"/>
      <c r="G9" s="5" t="s">
        <v>198</v>
      </c>
      <c r="H9" s="16">
        <v>3179.25</v>
      </c>
      <c r="I9" s="17">
        <f t="shared" si="0"/>
        <v>3179.25</v>
      </c>
    </row>
    <row r="10" spans="1:9" x14ac:dyDescent="0.25">
      <c r="A10" s="38"/>
      <c r="B10" s="35"/>
      <c r="C10" s="36"/>
      <c r="D10" s="36"/>
      <c r="E10" s="37"/>
      <c r="F10" s="37"/>
      <c r="G10" s="5" t="s">
        <v>164</v>
      </c>
      <c r="H10" s="16">
        <v>3484.8</v>
      </c>
      <c r="I10" s="17">
        <f t="shared" si="0"/>
        <v>3484.8</v>
      </c>
    </row>
    <row r="11" spans="1:9" x14ac:dyDescent="0.25">
      <c r="A11" s="38"/>
      <c r="B11" s="35"/>
      <c r="C11" s="36"/>
      <c r="D11" s="36"/>
      <c r="E11" s="37"/>
      <c r="F11" s="37"/>
      <c r="G11" s="5" t="s">
        <v>196</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abSelected="1" view="pageBreakPreview" topLeftCell="A4" zoomScaleNormal="100" zoomScaleSheetLayoutView="100" workbookViewId="0">
      <selection activeCell="C4" sqref="C4"/>
    </sheetView>
  </sheetViews>
  <sheetFormatPr defaultRowHeight="15" x14ac:dyDescent="0.25"/>
  <cols>
    <col min="1" max="2" width="6.7109375" style="1" customWidth="1"/>
    <col min="3" max="3" width="36.7109375" style="4" customWidth="1"/>
    <col min="4" max="4" width="12.7109375" style="1" customWidth="1"/>
    <col min="5" max="6" width="15.7109375" style="1" customWidth="1"/>
    <col min="7" max="7" width="12.7109375" style="1" customWidth="1"/>
    <col min="8" max="9" width="15.7109375" style="1" customWidth="1"/>
    <col min="10" max="16384" width="9.140625" style="1"/>
  </cols>
  <sheetData>
    <row r="1" spans="1:9" ht="15.75" x14ac:dyDescent="0.25">
      <c r="A1" s="39" t="s">
        <v>0</v>
      </c>
      <c r="B1" s="39"/>
      <c r="C1" s="39"/>
      <c r="D1" s="39"/>
      <c r="E1" s="39"/>
      <c r="F1" s="39"/>
      <c r="G1" s="39"/>
      <c r="H1" s="39"/>
      <c r="I1" s="39"/>
    </row>
    <row r="2" spans="1:9" ht="36" x14ac:dyDescent="0.25">
      <c r="A2" s="6" t="s">
        <v>29</v>
      </c>
      <c r="B2" s="6" t="s">
        <v>1</v>
      </c>
      <c r="C2" s="6" t="s">
        <v>2</v>
      </c>
      <c r="D2" s="31" t="s">
        <v>3</v>
      </c>
      <c r="E2" s="31" t="s">
        <v>213</v>
      </c>
      <c r="F2" s="31" t="s">
        <v>214</v>
      </c>
      <c r="G2" s="6" t="s">
        <v>212</v>
      </c>
      <c r="H2" s="6" t="s">
        <v>5</v>
      </c>
      <c r="I2" s="6" t="s">
        <v>30</v>
      </c>
    </row>
    <row r="3" spans="1:9" ht="409.5" x14ac:dyDescent="0.25">
      <c r="A3" s="22" t="s">
        <v>58</v>
      </c>
      <c r="B3" s="22">
        <f>Item1!A3</f>
        <v>1</v>
      </c>
      <c r="C3" s="41" t="str">
        <f>Item1!B3</f>
        <v>NOBREAK: 
· Potência mínima de 1500VA / 1050W; 
· Fator de potência: 0,7 ou superior; 
· Seleção automática de tensão na entrada 110V/115V/127V/220V; 
· Forma de onda na saída: senoidal por aproximação;
· Plugue do cabo de força: padrão NBR14136; 
· Frequência da rede: 60 Hz; 
· Tensão de saída: 115 VAC; 
· Mínimo de 8 tomadas de saída com padrão NBR 14136; 
· Autonomia mínima de 60 minutos, quando conectado a uma carga de 80W (equivalente a um microcomputador e um monitor de 15” LCD). 
· Proteção contra: curto-circuito, surtos de tensão entre fase e neutro, sobrecarga, sub e sobretensão da rede elétrica, sobreaquecimento no inversor e no transformador, descarga total das baterias;
· Leds indicativos das condições de funcionamento do equipamento; 
· Alarme audiovisual para sinalização das condições de funcionamento da rede elétrica; · Porta-fusível externo com unidade reserva; · Mínimo de duas baterias VRLA internas seladas de 12V/7Ah ou maior; 
· Filtro de linha e estabilizador integrados; 
· Recarga automática das baterias mesmo com o nobreak desligado; 
· Saída padrão USB para comunicação com o computador; 
· Conector para módulo de baterias externas; 
· Software de gerenciamento de configuração via computador; 
· Line Interactive (Nobreak Interativo com Regulação On-Line) 
· Garantia de, no mínimo, 12 meses, contados a partir do recebimento definitivo do equipamento</v>
      </c>
      <c r="D3" s="22" t="str">
        <f>Item1!C3</f>
        <v>UN</v>
      </c>
      <c r="E3" s="40">
        <f>G3-F3</f>
        <v>417</v>
      </c>
      <c r="F3" s="40">
        <v>50</v>
      </c>
      <c r="G3" s="40">
        <f>Item1!D3</f>
        <v>467</v>
      </c>
      <c r="H3" s="23">
        <f>Item1!E3</f>
        <v>961.99</v>
      </c>
      <c r="I3" s="23">
        <f>ROUND((G3*H3),2)</f>
        <v>449249.33</v>
      </c>
    </row>
    <row r="4" spans="1:9" ht="292.5" x14ac:dyDescent="0.25">
      <c r="A4" s="22" t="s">
        <v>58</v>
      </c>
      <c r="B4" s="22">
        <f>Item2!A3</f>
        <v>2</v>
      </c>
      <c r="C4" s="41" t="str">
        <f>Item2!B3</f>
        <v>ESTABILIZADOR DE TENSÃO MICROPROCESSADO: 
· Potência mínima de 1000VA / 1000W; · Compatível com impressoras laser e multifuncionais monocromáticas de até 40ppm; 
· Microprocessador de alta velocidade; · Filtro de linha integrado; 
· Plugue do cabo de força: padrão NBR 14136; 
· Tensão de entrada: 115/127/220V (bivolt automático) 
· Frequência da rede: 60 Hz; 
· Tensão de saída: 115 VAC; 
· Mínimo de 5 tomadas de saída com padrão NBR 14136; 
· Porta-fusível externo com unidade reserva; · Proteção contra curto-circuito; 
· Proteção contra surtos de tensão entre fase e neutro; 
· Proteção contra sub/sobretensão de rede elétrica; 
· Proteção contra sobreaquecimento; · Proteção contra sobrecarga; 
· Leds indicativos das condições de funcionamento da rede elétrica; 
· Certificado conforme NBR 14373:2006; 
· Garantia de, no mínimo, 12 meses, contados a partir do recebimento definitivo do equipamento.</v>
      </c>
      <c r="D4" s="22" t="str">
        <f>Item2!C3</f>
        <v>UN</v>
      </c>
      <c r="E4" s="40">
        <f t="shared" ref="E4:E5" si="0">G4-F4</f>
        <v>100</v>
      </c>
      <c r="F4" s="40">
        <v>0</v>
      </c>
      <c r="G4" s="40">
        <f>Item2!D3</f>
        <v>100</v>
      </c>
      <c r="H4" s="23">
        <f>Item2!E3</f>
        <v>475.64</v>
      </c>
      <c r="I4" s="23">
        <f t="shared" ref="I4:I5" si="1">ROUND((G4*H4),2)</f>
        <v>47564</v>
      </c>
    </row>
    <row r="5" spans="1:9" ht="409.5" x14ac:dyDescent="0.25">
      <c r="A5" s="22" t="s">
        <v>58</v>
      </c>
      <c r="B5" s="22">
        <f>Item3!A3</f>
        <v>3</v>
      </c>
      <c r="C5" s="41" t="str">
        <f>Item3!B3</f>
        <v xml:space="preserve">NOBREAK: 
· Potência mínima de 1500VA / 1050W; 
· Fator de potência: 0,7 ou superior; 
· Seleção automática de tensão na entrada 110V/115V/127V/220V; 
· Forma de onda na saída: senoidal por aproximação;
· Plugue do cabo de força: padrão NBR14136; 
· Frequência da rede: 60 Hz; 
· Tensão de saída: 115 VAC; 
· Mínimo de 8 tomadas de saída com padrão NBR 14136; 
· Autonomia mínima de 60 minutos, quando conectado a uma carga de 80W (equivalente a um microcomputador e um monitor de 15” LCD). 
· Proteção contra: curto-circuito, surtos de tensão entre fase e neutro, sobrecarga, sub e sobretensão da rede elétrica, sobreaquecimento no inversor e no transformador, descarga total das baterias;
· Leds indicativos das condições de funcionamento do equipamento; 
· Alarme audiovisual para sinalização das condições de funcionamento da rede elétrica; · Porta-fusível externo com unidade reserva; · Mínimo de duas baterias VRLA internas seladas de 12V/7Ah ou maior; 
· Filtro de linha e estabilizador integrados; 
· Recarga automática das baterias mesmo com o nobreak desligado; 
· Saída padrão USB para comunicação com o computador; 
· Conector para módulo de baterias externas; 
· Software de gerenciamento de configuração via computador; 
· Line Interactive (Nobreak Interativo com Regulação On-Line) 
· Garantia de, no mínimo, 12 meses, contados a partir do recebimento definitivo do equipamento
</v>
      </c>
      <c r="D5" s="22" t="str">
        <f>Item3!C3</f>
        <v>UN</v>
      </c>
      <c r="E5" s="40">
        <f t="shared" si="0"/>
        <v>83</v>
      </c>
      <c r="F5" s="40">
        <v>0</v>
      </c>
      <c r="G5" s="40">
        <f>Item3!D3</f>
        <v>83</v>
      </c>
      <c r="H5" s="23">
        <f>Item3!E3</f>
        <v>961.99</v>
      </c>
      <c r="I5" s="23">
        <f t="shared" si="1"/>
        <v>79845.17</v>
      </c>
    </row>
    <row r="6" spans="1:9" x14ac:dyDescent="0.25">
      <c r="A6" s="24"/>
      <c r="B6" s="24"/>
      <c r="C6" s="25"/>
      <c r="D6" s="26"/>
      <c r="E6" s="26"/>
      <c r="F6" s="27"/>
      <c r="G6" s="27"/>
    </row>
    <row r="7" spans="1:9" ht="15.75" thickBot="1" x14ac:dyDescent="0.3"/>
    <row r="8" spans="1:9" ht="19.5" customHeight="1" thickTop="1" thickBot="1" x14ac:dyDescent="0.3">
      <c r="D8" s="29"/>
      <c r="E8" s="28" t="s">
        <v>33</v>
      </c>
      <c r="F8" s="30">
        <f>SUM(I:I)</f>
        <v>576658.5</v>
      </c>
    </row>
    <row r="9" spans="1:9" ht="15.75" thickTop="1" x14ac:dyDescent="0.25">
      <c r="F9" s="3"/>
    </row>
    <row r="10" spans="1:9" x14ac:dyDescent="0.25">
      <c r="D10" s="21" t="s">
        <v>32</v>
      </c>
      <c r="E10" s="13">
        <f>MAX(A:A)</f>
        <v>0</v>
      </c>
    </row>
    <row r="12" spans="1:9" x14ac:dyDescent="0.25">
      <c r="D12" s="18" t="s">
        <v>31</v>
      </c>
      <c r="E12" s="19">
        <v>1</v>
      </c>
      <c r="F12" s="20">
        <f>SUMIF(A:A,E12,G:G)</f>
        <v>0</v>
      </c>
    </row>
  </sheetData>
  <mergeCells count="1">
    <mergeCell ref="A1:I1"/>
  </mergeCells>
  <pageMargins left="0.51181102362204722" right="0.51181102362204722" top="1.5748031496062993" bottom="0.78740157480314965" header="0.31496062992125984" footer="0.31496062992125984"/>
  <pageSetup paperSize="9" scale="66"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8">
        <v>3</v>
      </c>
      <c r="B3" s="34" t="s">
        <v>199</v>
      </c>
      <c r="C3" s="36" t="s">
        <v>200</v>
      </c>
      <c r="D3" s="36">
        <v>83</v>
      </c>
      <c r="E3" s="37">
        <f>IF(C20&lt;=25%,D20,MIN(E20:F20))</f>
        <v>961.99</v>
      </c>
      <c r="F3" s="37">
        <f>MIN(H3:H17)</f>
        <v>595.96</v>
      </c>
      <c r="G3" s="5" t="s">
        <v>210</v>
      </c>
      <c r="H3" s="16">
        <v>1341.22</v>
      </c>
      <c r="I3" s="17" t="str">
        <f>IF(H3="","",(IF($C$20&lt;25%,"n/a",IF(H3&lt;=($D$20+$A$20),H3,"Descartado"))))</f>
        <v>Descartado</v>
      </c>
    </row>
    <row r="4" spans="1:9" x14ac:dyDescent="0.25">
      <c r="A4" s="38"/>
      <c r="B4" s="35"/>
      <c r="C4" s="36"/>
      <c r="D4" s="36"/>
      <c r="E4" s="37"/>
      <c r="F4" s="37"/>
      <c r="G4" s="5" t="s">
        <v>201</v>
      </c>
      <c r="H4" s="16">
        <v>1269.99</v>
      </c>
      <c r="I4" s="17">
        <f t="shared" ref="I4:I17" si="0">IF(H4="","",(IF($C$20&lt;25%,"n/a",IF(H4&lt;=($D$20+$A$20),H4,"Descartado"))))</f>
        <v>1269.99</v>
      </c>
    </row>
    <row r="5" spans="1:9" x14ac:dyDescent="0.25">
      <c r="A5" s="38"/>
      <c r="B5" s="35"/>
      <c r="C5" s="36"/>
      <c r="D5" s="36"/>
      <c r="E5" s="37"/>
      <c r="F5" s="37"/>
      <c r="G5" s="5" t="s">
        <v>202</v>
      </c>
      <c r="H5" s="16">
        <v>1049.99</v>
      </c>
      <c r="I5" s="17">
        <f t="shared" si="0"/>
        <v>1049.99</v>
      </c>
    </row>
    <row r="6" spans="1:9" x14ac:dyDescent="0.25">
      <c r="A6" s="38"/>
      <c r="B6" s="35"/>
      <c r="C6" s="36"/>
      <c r="D6" s="36"/>
      <c r="E6" s="37"/>
      <c r="F6" s="37"/>
      <c r="G6" s="5" t="s">
        <v>171</v>
      </c>
      <c r="H6" s="16">
        <v>1110.99</v>
      </c>
      <c r="I6" s="17">
        <f t="shared" si="0"/>
        <v>1110.99</v>
      </c>
    </row>
    <row r="7" spans="1:9" x14ac:dyDescent="0.25">
      <c r="A7" s="38"/>
      <c r="B7" s="35"/>
      <c r="C7" s="36"/>
      <c r="D7" s="36"/>
      <c r="E7" s="37"/>
      <c r="F7" s="37"/>
      <c r="G7" s="5" t="s">
        <v>203</v>
      </c>
      <c r="H7" s="16">
        <v>595.96</v>
      </c>
      <c r="I7" s="17">
        <f t="shared" si="0"/>
        <v>595.96</v>
      </c>
    </row>
    <row r="8" spans="1:9" x14ac:dyDescent="0.25">
      <c r="A8" s="38"/>
      <c r="B8" s="35"/>
      <c r="C8" s="36"/>
      <c r="D8" s="36"/>
      <c r="E8" s="37"/>
      <c r="F8" s="37"/>
      <c r="G8" s="5" t="s">
        <v>204</v>
      </c>
      <c r="H8" s="16">
        <v>695</v>
      </c>
      <c r="I8" s="17">
        <f t="shared" si="0"/>
        <v>695</v>
      </c>
    </row>
    <row r="9" spans="1:9" x14ac:dyDescent="0.25">
      <c r="A9" s="38"/>
      <c r="B9" s="35"/>
      <c r="C9" s="36"/>
      <c r="D9" s="36"/>
      <c r="E9" s="37"/>
      <c r="F9" s="37"/>
      <c r="G9" s="5" t="s">
        <v>205</v>
      </c>
      <c r="H9" s="16">
        <v>1050</v>
      </c>
      <c r="I9" s="17">
        <f t="shared" si="0"/>
        <v>1050</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277.21465851436921</v>
      </c>
      <c r="B20" s="8">
        <f>COUNT(H3:H17)</f>
        <v>7</v>
      </c>
      <c r="C20" s="9">
        <f>IF(B20&lt;2,"n/a",(A20/D20))</f>
        <v>0.27280611174851321</v>
      </c>
      <c r="D20" s="10">
        <f>IFERROR(ROUND(AVERAGE(H3:H17),2),"")</f>
        <v>1016.16</v>
      </c>
      <c r="E20" s="15">
        <f>IFERROR(ROUND(IF(B20&lt;2,"n/a",(IF(C20&lt;=25%,"n/a",AVERAGE(I3:I17)))),2),"n/a")</f>
        <v>961.99</v>
      </c>
      <c r="F20" s="10">
        <f>IFERROR(ROUND(MEDIAN(H3:H17),2),"")</f>
        <v>1050</v>
      </c>
      <c r="G20" s="11" t="str">
        <f>IFERROR(INDEX(G3:G17,MATCH(H20,H3:H17,0)),"")</f>
        <v>3D PROJETOS E ASSESSORIA EM INFORMATICA LTDA</v>
      </c>
      <c r="H20" s="12">
        <f>F3</f>
        <v>595.96</v>
      </c>
    </row>
    <row r="22" spans="1:9" x14ac:dyDescent="0.25">
      <c r="G22" s="13" t="s">
        <v>20</v>
      </c>
      <c r="H22" s="14">
        <f>IF(C20&lt;=25%,D20,MIN(E20:F20))</f>
        <v>961.99</v>
      </c>
    </row>
    <row r="23" spans="1:9" x14ac:dyDescent="0.25">
      <c r="G23" s="13" t="s">
        <v>6</v>
      </c>
      <c r="H23" s="14">
        <f>ROUND(H22,2)*D3</f>
        <v>79845.17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34</v>
      </c>
      <c r="C3" s="36" t="s">
        <v>7</v>
      </c>
      <c r="D3" s="36">
        <v>2</v>
      </c>
      <c r="E3" s="37">
        <f>IF(C20&lt;=25%,D20,MIN(E20:F20))</f>
        <v>1386.39</v>
      </c>
      <c r="F3" s="37">
        <f>MIN(H3:H17)</f>
        <v>800</v>
      </c>
      <c r="G3" s="5" t="s">
        <v>65</v>
      </c>
      <c r="H3" s="16">
        <v>940</v>
      </c>
      <c r="I3" s="17">
        <f>IF(H3="","",(IF($C$20&lt;25%,"n/a",IF(H3&lt;=($D$20+$A$20),H3,"Descartado"))))</f>
        <v>940</v>
      </c>
    </row>
    <row r="4" spans="1:9" x14ac:dyDescent="0.25">
      <c r="A4" s="38"/>
      <c r="B4" s="35"/>
      <c r="C4" s="36"/>
      <c r="D4" s="36"/>
      <c r="E4" s="37"/>
      <c r="F4" s="37"/>
      <c r="G4" s="5" t="s">
        <v>66</v>
      </c>
      <c r="H4" s="16">
        <v>2144.34</v>
      </c>
      <c r="I4" s="17">
        <f t="shared" ref="I4:I17" si="0">IF(H4="","",(IF($C$20&lt;25%,"n/a",IF(H4&lt;=($D$20+$A$20),H4,"Descartado"))))</f>
        <v>2144.34</v>
      </c>
    </row>
    <row r="5" spans="1:9" x14ac:dyDescent="0.25">
      <c r="A5" s="38"/>
      <c r="B5" s="35"/>
      <c r="C5" s="36"/>
      <c r="D5" s="36"/>
      <c r="E5" s="37"/>
      <c r="F5" s="37"/>
      <c r="G5" s="5" t="s">
        <v>67</v>
      </c>
      <c r="H5" s="16">
        <v>925</v>
      </c>
      <c r="I5" s="17">
        <f t="shared" si="0"/>
        <v>925</v>
      </c>
    </row>
    <row r="6" spans="1:9" x14ac:dyDescent="0.25">
      <c r="A6" s="38"/>
      <c r="B6" s="35"/>
      <c r="C6" s="36"/>
      <c r="D6" s="36"/>
      <c r="E6" s="37"/>
      <c r="F6" s="37"/>
      <c r="G6" s="5" t="s">
        <v>68</v>
      </c>
      <c r="H6" s="16">
        <v>4280.84</v>
      </c>
      <c r="I6" s="17" t="str">
        <f t="shared" si="0"/>
        <v>Descartado</v>
      </c>
    </row>
    <row r="7" spans="1:9" x14ac:dyDescent="0.25">
      <c r="A7" s="38"/>
      <c r="B7" s="35"/>
      <c r="C7" s="36"/>
      <c r="D7" s="36"/>
      <c r="E7" s="37"/>
      <c r="F7" s="37"/>
      <c r="G7" s="5" t="s">
        <v>62</v>
      </c>
      <c r="H7" s="16">
        <v>1402</v>
      </c>
      <c r="I7" s="17">
        <f t="shared" si="0"/>
        <v>1402</v>
      </c>
    </row>
    <row r="8" spans="1:9" x14ac:dyDescent="0.25">
      <c r="A8" s="38"/>
      <c r="B8" s="35"/>
      <c r="C8" s="36"/>
      <c r="D8" s="36"/>
      <c r="E8" s="37"/>
      <c r="F8" s="37"/>
      <c r="G8" s="5" t="s">
        <v>69</v>
      </c>
      <c r="H8" s="16">
        <v>2100</v>
      </c>
      <c r="I8" s="17">
        <f t="shared" si="0"/>
        <v>2100</v>
      </c>
    </row>
    <row r="9" spans="1:9" x14ac:dyDescent="0.25">
      <c r="A9" s="38"/>
      <c r="B9" s="35"/>
      <c r="C9" s="36"/>
      <c r="D9" s="36"/>
      <c r="E9" s="37"/>
      <c r="F9" s="37"/>
      <c r="G9" s="5" t="s">
        <v>70</v>
      </c>
      <c r="H9" s="16">
        <v>3777</v>
      </c>
      <c r="I9" s="17" t="str">
        <f t="shared" si="0"/>
        <v>Descartado</v>
      </c>
    </row>
    <row r="10" spans="1:9" x14ac:dyDescent="0.25">
      <c r="A10" s="38"/>
      <c r="B10" s="35"/>
      <c r="C10" s="36"/>
      <c r="D10" s="36"/>
      <c r="E10" s="37"/>
      <c r="F10" s="37"/>
      <c r="G10" s="5" t="s">
        <v>59</v>
      </c>
      <c r="H10" s="16">
        <v>1375</v>
      </c>
      <c r="I10" s="17">
        <f t="shared" si="0"/>
        <v>1375</v>
      </c>
    </row>
    <row r="11" spans="1:9" x14ac:dyDescent="0.25">
      <c r="A11" s="38"/>
      <c r="B11" s="35"/>
      <c r="C11" s="36"/>
      <c r="D11" s="36"/>
      <c r="E11" s="37"/>
      <c r="F11" s="37"/>
      <c r="G11" s="5" t="s">
        <v>71</v>
      </c>
      <c r="H11" s="16">
        <v>1999</v>
      </c>
      <c r="I11" s="17">
        <f t="shared" si="0"/>
        <v>1999</v>
      </c>
    </row>
    <row r="12" spans="1:9" x14ac:dyDescent="0.25">
      <c r="A12" s="38"/>
      <c r="B12" s="35"/>
      <c r="C12" s="36"/>
      <c r="D12" s="36"/>
      <c r="E12" s="37"/>
      <c r="F12" s="37"/>
      <c r="G12" s="5" t="s">
        <v>72</v>
      </c>
      <c r="H12" s="16">
        <v>877.55</v>
      </c>
      <c r="I12" s="17">
        <f t="shared" si="0"/>
        <v>877.55</v>
      </c>
    </row>
    <row r="13" spans="1:9" x14ac:dyDescent="0.25">
      <c r="A13" s="38"/>
      <c r="B13" s="35"/>
      <c r="C13" s="36"/>
      <c r="D13" s="36"/>
      <c r="E13" s="37"/>
      <c r="F13" s="37"/>
      <c r="G13" s="5" t="s">
        <v>165</v>
      </c>
      <c r="H13" s="16">
        <v>1301.05</v>
      </c>
      <c r="I13" s="17">
        <f t="shared" si="0"/>
        <v>1301.05</v>
      </c>
    </row>
    <row r="14" spans="1:9" x14ac:dyDescent="0.25">
      <c r="A14" s="38"/>
      <c r="B14" s="35"/>
      <c r="C14" s="36"/>
      <c r="D14" s="36"/>
      <c r="E14" s="37"/>
      <c r="F14" s="37"/>
      <c r="G14" s="5" t="s">
        <v>162</v>
      </c>
      <c r="H14" s="16">
        <v>800</v>
      </c>
      <c r="I14" s="17">
        <f t="shared" si="0"/>
        <v>800</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35</v>
      </c>
      <c r="C3" s="36" t="s">
        <v>7</v>
      </c>
      <c r="D3" s="36">
        <v>1</v>
      </c>
      <c r="E3" s="37">
        <f>IF(C20&lt;=25%,D20,MIN(E20:F20))</f>
        <v>7540.83</v>
      </c>
      <c r="F3" s="37">
        <f>MIN(H3:H17)</f>
        <v>1172.6600000000001</v>
      </c>
      <c r="G3" s="5" t="s">
        <v>73</v>
      </c>
      <c r="H3" s="16">
        <v>9050</v>
      </c>
      <c r="I3" s="17">
        <f>IF(H3="","",(IF($C$20&lt;25%,"n/a",IF(H3&lt;=($D$20+$A$20),H3,"Descartado"))))</f>
        <v>9050</v>
      </c>
    </row>
    <row r="4" spans="1:9" x14ac:dyDescent="0.25">
      <c r="A4" s="38"/>
      <c r="B4" s="35"/>
      <c r="C4" s="36"/>
      <c r="D4" s="36"/>
      <c r="E4" s="37"/>
      <c r="F4" s="37"/>
      <c r="G4" s="5" t="s">
        <v>62</v>
      </c>
      <c r="H4" s="16">
        <v>5737.44</v>
      </c>
      <c r="I4" s="17">
        <f t="shared" ref="I4:I17" si="0">IF(H4="","",(IF($C$20&lt;25%,"n/a",IF(H4&lt;=($D$20+$A$20),H4,"Descartado"))))</f>
        <v>5737.44</v>
      </c>
    </row>
    <row r="5" spans="1:9" x14ac:dyDescent="0.25">
      <c r="A5" s="38"/>
      <c r="B5" s="35"/>
      <c r="C5" s="36"/>
      <c r="D5" s="36"/>
      <c r="E5" s="37"/>
      <c r="F5" s="37"/>
      <c r="G5" s="5" t="s">
        <v>74</v>
      </c>
      <c r="H5" s="16">
        <v>1172.6600000000001</v>
      </c>
      <c r="I5" s="17">
        <f t="shared" si="0"/>
        <v>1172.6600000000001</v>
      </c>
    </row>
    <row r="6" spans="1:9" x14ac:dyDescent="0.25">
      <c r="A6" s="38"/>
      <c r="B6" s="35"/>
      <c r="C6" s="36"/>
      <c r="D6" s="36"/>
      <c r="E6" s="37"/>
      <c r="F6" s="37"/>
      <c r="G6" s="5" t="s">
        <v>67</v>
      </c>
      <c r="H6" s="16">
        <v>3900</v>
      </c>
      <c r="I6" s="17">
        <f t="shared" si="0"/>
        <v>3900</v>
      </c>
    </row>
    <row r="7" spans="1:9" x14ac:dyDescent="0.25">
      <c r="A7" s="38"/>
      <c r="B7" s="35"/>
      <c r="C7" s="36"/>
      <c r="D7" s="36"/>
      <c r="E7" s="37"/>
      <c r="F7" s="37"/>
      <c r="G7" s="5" t="s">
        <v>64</v>
      </c>
      <c r="H7" s="16">
        <v>7969</v>
      </c>
      <c r="I7" s="17">
        <f t="shared" si="0"/>
        <v>7969</v>
      </c>
    </row>
    <row r="8" spans="1:9" x14ac:dyDescent="0.25">
      <c r="A8" s="38"/>
      <c r="B8" s="35"/>
      <c r="C8" s="36"/>
      <c r="D8" s="36"/>
      <c r="E8" s="37"/>
      <c r="F8" s="37"/>
      <c r="G8" s="5" t="s">
        <v>75</v>
      </c>
      <c r="H8" s="16">
        <v>7680</v>
      </c>
      <c r="I8" s="17">
        <f t="shared" si="0"/>
        <v>7680</v>
      </c>
    </row>
    <row r="9" spans="1:9" x14ac:dyDescent="0.25">
      <c r="A9" s="38"/>
      <c r="B9" s="35"/>
      <c r="C9" s="36"/>
      <c r="D9" s="36"/>
      <c r="E9" s="37"/>
      <c r="F9" s="37"/>
      <c r="G9" s="5" t="s">
        <v>76</v>
      </c>
      <c r="H9" s="16">
        <v>10150</v>
      </c>
      <c r="I9" s="17">
        <f t="shared" si="0"/>
        <v>10150</v>
      </c>
    </row>
    <row r="10" spans="1:9" x14ac:dyDescent="0.25">
      <c r="A10" s="38"/>
      <c r="B10" s="35"/>
      <c r="C10" s="36"/>
      <c r="D10" s="36"/>
      <c r="E10" s="37"/>
      <c r="F10" s="37"/>
      <c r="G10" s="5" t="s">
        <v>77</v>
      </c>
      <c r="H10" s="16">
        <v>10040</v>
      </c>
      <c r="I10" s="17">
        <f t="shared" si="0"/>
        <v>10040</v>
      </c>
    </row>
    <row r="11" spans="1:9" x14ac:dyDescent="0.25">
      <c r="A11" s="38"/>
      <c r="B11" s="35"/>
      <c r="C11" s="36"/>
      <c r="D11" s="36"/>
      <c r="E11" s="37"/>
      <c r="F11" s="37"/>
      <c r="G11" s="5" t="s">
        <v>61</v>
      </c>
      <c r="H11" s="16">
        <v>10600</v>
      </c>
      <c r="I11" s="17">
        <f t="shared" si="0"/>
        <v>10600</v>
      </c>
    </row>
    <row r="12" spans="1:9" x14ac:dyDescent="0.25">
      <c r="A12" s="38"/>
      <c r="B12" s="35"/>
      <c r="C12" s="36"/>
      <c r="D12" s="36"/>
      <c r="E12" s="37"/>
      <c r="F12" s="37"/>
      <c r="G12" s="5" t="s">
        <v>60</v>
      </c>
      <c r="H12" s="16">
        <v>8000</v>
      </c>
      <c r="I12" s="17">
        <f t="shared" si="0"/>
        <v>8000</v>
      </c>
    </row>
    <row r="13" spans="1:9" x14ac:dyDescent="0.25">
      <c r="A13" s="38"/>
      <c r="B13" s="35"/>
      <c r="C13" s="36"/>
      <c r="D13" s="36"/>
      <c r="E13" s="37"/>
      <c r="F13" s="37"/>
      <c r="G13" s="5" t="s">
        <v>78</v>
      </c>
      <c r="H13" s="16">
        <v>14086.4</v>
      </c>
      <c r="I13" s="17" t="str">
        <f t="shared" si="0"/>
        <v>Descartado</v>
      </c>
    </row>
    <row r="14" spans="1:9" x14ac:dyDescent="0.25">
      <c r="A14" s="38"/>
      <c r="B14" s="35"/>
      <c r="C14" s="36"/>
      <c r="D14" s="36"/>
      <c r="E14" s="37"/>
      <c r="F14" s="37"/>
      <c r="G14" s="5" t="s">
        <v>79</v>
      </c>
      <c r="H14" s="16">
        <v>8650</v>
      </c>
      <c r="I14" s="17">
        <f t="shared" si="0"/>
        <v>8650</v>
      </c>
    </row>
    <row r="15" spans="1:9" x14ac:dyDescent="0.25">
      <c r="A15" s="38"/>
      <c r="B15" s="35"/>
      <c r="C15" s="36"/>
      <c r="D15" s="36"/>
      <c r="E15" s="37"/>
      <c r="F15" s="37"/>
      <c r="G15" s="5" t="s">
        <v>161</v>
      </c>
      <c r="H15" s="16">
        <v>12399</v>
      </c>
      <c r="I15" s="17" t="str">
        <f t="shared" si="0"/>
        <v>Descartado</v>
      </c>
    </row>
    <row r="16" spans="1:9" x14ac:dyDescent="0.25">
      <c r="A16" s="38"/>
      <c r="B16" s="35"/>
      <c r="C16" s="36"/>
      <c r="D16" s="36"/>
      <c r="E16" s="37"/>
      <c r="F16" s="37"/>
      <c r="G16" s="5" t="s">
        <v>166</v>
      </c>
      <c r="H16" s="16">
        <v>12624</v>
      </c>
      <c r="I16" s="17" t="str">
        <f t="shared" si="0"/>
        <v>Descartado</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36</v>
      </c>
      <c r="C3" s="36" t="s">
        <v>7</v>
      </c>
      <c r="D3" s="36">
        <v>2</v>
      </c>
      <c r="E3" s="37">
        <f>IF(C20&lt;=25%,D20,MIN(E20:F20))</f>
        <v>1062.4100000000001</v>
      </c>
      <c r="F3" s="37">
        <f>MIN(H3:H17)</f>
        <v>749</v>
      </c>
      <c r="G3" s="5" t="s">
        <v>71</v>
      </c>
      <c r="H3" s="16">
        <v>749</v>
      </c>
      <c r="I3" s="17">
        <f>IF(H3="","",(IF($C$20&lt;25%,"n/a",IF(H3&lt;=($D$20+$A$20),H3,"Descartado"))))</f>
        <v>749</v>
      </c>
    </row>
    <row r="4" spans="1:9" x14ac:dyDescent="0.25">
      <c r="A4" s="38"/>
      <c r="B4" s="35"/>
      <c r="C4" s="36"/>
      <c r="D4" s="36"/>
      <c r="E4" s="37"/>
      <c r="F4" s="37"/>
      <c r="G4" s="5" t="s">
        <v>163</v>
      </c>
      <c r="H4" s="16">
        <v>1539.22</v>
      </c>
      <c r="I4" s="17">
        <f t="shared" ref="I4:I17" si="0">IF(H4="","",(IF($C$20&lt;25%,"n/a",IF(H4&lt;=($D$20+$A$20),H4,"Descartado"))))</f>
        <v>1539.22</v>
      </c>
    </row>
    <row r="5" spans="1:9" x14ac:dyDescent="0.25">
      <c r="A5" s="38"/>
      <c r="B5" s="35"/>
      <c r="C5" s="36"/>
      <c r="D5" s="36"/>
      <c r="E5" s="37"/>
      <c r="F5" s="37"/>
      <c r="G5" s="5" t="s">
        <v>161</v>
      </c>
      <c r="H5" s="16">
        <v>899</v>
      </c>
      <c r="I5" s="17">
        <f t="shared" si="0"/>
        <v>899</v>
      </c>
    </row>
    <row r="6" spans="1:9" x14ac:dyDescent="0.25">
      <c r="A6" s="38"/>
      <c r="B6" s="35"/>
      <c r="C6" s="36"/>
      <c r="D6" s="36"/>
      <c r="E6" s="37"/>
      <c r="F6" s="37"/>
      <c r="G6" s="5" t="s">
        <v>164</v>
      </c>
      <c r="H6" s="16">
        <v>2178.21</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37</v>
      </c>
      <c r="C3" s="36" t="s">
        <v>7</v>
      </c>
      <c r="D3" s="36">
        <v>2</v>
      </c>
      <c r="E3" s="37">
        <f>IF(C20&lt;=25%,D20,MIN(E20:F20))</f>
        <v>232.66</v>
      </c>
      <c r="F3" s="37">
        <f>MIN(H3:H17)</f>
        <v>188</v>
      </c>
      <c r="G3" s="5" t="s">
        <v>61</v>
      </c>
      <c r="H3" s="16">
        <v>188</v>
      </c>
      <c r="I3" s="17">
        <f>IF(H3="","",(IF($C$20&lt;25%,"n/a",IF(H3&lt;=($D$20+$A$20),H3,"Descartado"))))</f>
        <v>188</v>
      </c>
    </row>
    <row r="4" spans="1:9" x14ac:dyDescent="0.25">
      <c r="A4" s="38"/>
      <c r="B4" s="35"/>
      <c r="C4" s="36"/>
      <c r="D4" s="36"/>
      <c r="E4" s="37"/>
      <c r="F4" s="37"/>
      <c r="G4" s="5" t="s">
        <v>80</v>
      </c>
      <c r="H4" s="16">
        <v>360</v>
      </c>
      <c r="I4" s="17" t="str">
        <f t="shared" ref="I4:I17" si="0">IF(H4="","",(IF($C$20&lt;25%,"n/a",IF(H4&lt;=($D$20+$A$20),H4,"Descartado"))))</f>
        <v>Descartado</v>
      </c>
    </row>
    <row r="5" spans="1:9" x14ac:dyDescent="0.25">
      <c r="A5" s="38"/>
      <c r="B5" s="35"/>
      <c r="C5" s="36"/>
      <c r="D5" s="36"/>
      <c r="E5" s="37"/>
      <c r="F5" s="37"/>
      <c r="G5" s="5" t="s">
        <v>81</v>
      </c>
      <c r="H5" s="16">
        <v>280</v>
      </c>
      <c r="I5" s="17">
        <f t="shared" si="0"/>
        <v>280</v>
      </c>
    </row>
    <row r="6" spans="1:9" x14ac:dyDescent="0.25">
      <c r="A6" s="38"/>
      <c r="B6" s="35"/>
      <c r="C6" s="36"/>
      <c r="D6" s="36"/>
      <c r="E6" s="37"/>
      <c r="F6" s="37"/>
      <c r="G6" s="5" t="s">
        <v>164</v>
      </c>
      <c r="H6" s="16">
        <v>229.99</v>
      </c>
      <c r="I6" s="17">
        <f t="shared" si="0"/>
        <v>229.99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38</v>
      </c>
      <c r="C3" s="36" t="s">
        <v>7</v>
      </c>
      <c r="D3" s="36">
        <v>1</v>
      </c>
      <c r="E3" s="37">
        <f>IF(C20&lt;=25%,D20,MIN(E20:F20))</f>
        <v>1797.62</v>
      </c>
      <c r="F3" s="37">
        <f>MIN(H3:H17)</f>
        <v>514</v>
      </c>
      <c r="G3" s="5" t="s">
        <v>82</v>
      </c>
      <c r="H3" s="16">
        <v>1463.54</v>
      </c>
      <c r="I3" s="17">
        <f>IF(H3="","",(IF($C$20&lt;25%,"n/a",IF(H3&lt;=($D$20+$A$20),H3,"Descartado"))))</f>
        <v>1463.54</v>
      </c>
    </row>
    <row r="4" spans="1:9" x14ac:dyDescent="0.25">
      <c r="A4" s="38"/>
      <c r="B4" s="35"/>
      <c r="C4" s="36"/>
      <c r="D4" s="36"/>
      <c r="E4" s="37"/>
      <c r="F4" s="37"/>
      <c r="G4" s="5" t="s">
        <v>83</v>
      </c>
      <c r="H4" s="16">
        <v>514</v>
      </c>
      <c r="I4" s="17">
        <f t="shared" ref="I4:I17" si="0">IF(H4="","",(IF($C$20&lt;25%,"n/a",IF(H4&lt;=($D$20+$A$20),H4,"Descartado"))))</f>
        <v>514</v>
      </c>
    </row>
    <row r="5" spans="1:9" x14ac:dyDescent="0.25">
      <c r="A5" s="38"/>
      <c r="B5" s="35"/>
      <c r="C5" s="36"/>
      <c r="D5" s="36"/>
      <c r="E5" s="37"/>
      <c r="F5" s="37"/>
      <c r="G5" s="5" t="s">
        <v>84</v>
      </c>
      <c r="H5" s="16">
        <v>2565.66</v>
      </c>
      <c r="I5" s="17">
        <f t="shared" si="0"/>
        <v>2565.66</v>
      </c>
    </row>
    <row r="6" spans="1:9" x14ac:dyDescent="0.25">
      <c r="A6" s="38"/>
      <c r="B6" s="35"/>
      <c r="C6" s="36"/>
      <c r="D6" s="36"/>
      <c r="E6" s="37"/>
      <c r="F6" s="37"/>
      <c r="G6" s="5" t="s">
        <v>85</v>
      </c>
      <c r="H6" s="16">
        <v>790</v>
      </c>
      <c r="I6" s="17">
        <f t="shared" si="0"/>
        <v>790</v>
      </c>
    </row>
    <row r="7" spans="1:9" x14ac:dyDescent="0.25">
      <c r="A7" s="38"/>
      <c r="B7" s="35"/>
      <c r="C7" s="36"/>
      <c r="D7" s="36"/>
      <c r="E7" s="37"/>
      <c r="F7" s="37"/>
      <c r="G7" s="5" t="s">
        <v>86</v>
      </c>
      <c r="H7" s="16">
        <v>4858</v>
      </c>
      <c r="I7" s="17" t="str">
        <f t="shared" si="0"/>
        <v>Descartado</v>
      </c>
    </row>
    <row r="8" spans="1:9" x14ac:dyDescent="0.25">
      <c r="A8" s="38"/>
      <c r="B8" s="35"/>
      <c r="C8" s="36"/>
      <c r="D8" s="36"/>
      <c r="E8" s="37"/>
      <c r="F8" s="37"/>
      <c r="G8" s="5" t="s">
        <v>87</v>
      </c>
      <c r="H8" s="16">
        <v>4932</v>
      </c>
      <c r="I8" s="17" t="str">
        <f t="shared" si="0"/>
        <v>Descartado</v>
      </c>
    </row>
    <row r="9" spans="1:9" x14ac:dyDescent="0.25">
      <c r="A9" s="38"/>
      <c r="B9" s="35"/>
      <c r="C9" s="36"/>
      <c r="D9" s="36"/>
      <c r="E9" s="37"/>
      <c r="F9" s="37"/>
      <c r="G9" s="5" t="s">
        <v>88</v>
      </c>
      <c r="H9" s="16">
        <v>1970</v>
      </c>
      <c r="I9" s="17">
        <f t="shared" si="0"/>
        <v>1970</v>
      </c>
    </row>
    <row r="10" spans="1:9" x14ac:dyDescent="0.25">
      <c r="A10" s="38"/>
      <c r="B10" s="35"/>
      <c r="C10" s="36"/>
      <c r="D10" s="36"/>
      <c r="E10" s="37"/>
      <c r="F10" s="37"/>
      <c r="G10" s="5" t="s">
        <v>89</v>
      </c>
      <c r="H10" s="16">
        <v>3137</v>
      </c>
      <c r="I10" s="17">
        <f t="shared" si="0"/>
        <v>3137</v>
      </c>
    </row>
    <row r="11" spans="1:9" x14ac:dyDescent="0.25">
      <c r="A11" s="38"/>
      <c r="B11" s="35"/>
      <c r="C11" s="36"/>
      <c r="D11" s="36"/>
      <c r="E11" s="37"/>
      <c r="F11" s="37"/>
      <c r="G11" s="5" t="s">
        <v>90</v>
      </c>
      <c r="H11" s="16">
        <v>1990</v>
      </c>
      <c r="I11" s="17">
        <f t="shared" si="0"/>
        <v>1990</v>
      </c>
    </row>
    <row r="12" spans="1:9" x14ac:dyDescent="0.25">
      <c r="A12" s="38"/>
      <c r="B12" s="35"/>
      <c r="C12" s="36"/>
      <c r="D12" s="36"/>
      <c r="E12" s="37"/>
      <c r="F12" s="37"/>
      <c r="G12" s="5" t="s">
        <v>164</v>
      </c>
      <c r="H12" s="16">
        <v>1950.72</v>
      </c>
      <c r="I12" s="17">
        <f t="shared" si="0"/>
        <v>1950.72</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39</v>
      </c>
      <c r="C3" s="36" t="s">
        <v>7</v>
      </c>
      <c r="D3" s="36">
        <v>4</v>
      </c>
      <c r="E3" s="37">
        <f>IF(C20&lt;=25%,D20,MIN(E20:F20))</f>
        <v>684.5</v>
      </c>
      <c r="F3" s="37">
        <f>MIN(H3:H17)</f>
        <v>110</v>
      </c>
      <c r="G3" s="5" t="s">
        <v>91</v>
      </c>
      <c r="H3" s="16">
        <v>699</v>
      </c>
      <c r="I3" s="17">
        <f>IF(H3="","",(IF($C$20&lt;25%,"n/a",IF(H3&lt;=($D$20+$A$20),H3,"Descartado"))))</f>
        <v>699</v>
      </c>
    </row>
    <row r="4" spans="1:9" x14ac:dyDescent="0.25">
      <c r="A4" s="38"/>
      <c r="B4" s="35"/>
      <c r="C4" s="36"/>
      <c r="D4" s="36"/>
      <c r="E4" s="37"/>
      <c r="F4" s="37"/>
      <c r="G4" s="5" t="s">
        <v>92</v>
      </c>
      <c r="H4" s="16">
        <v>238.76</v>
      </c>
      <c r="I4" s="17">
        <f t="shared" ref="I4:I17" si="0">IF(H4="","",(IF($C$20&lt;25%,"n/a",IF(H4&lt;=($D$20+$A$20),H4,"Descartado"))))</f>
        <v>238.76</v>
      </c>
    </row>
    <row r="5" spans="1:9" x14ac:dyDescent="0.25">
      <c r="A5" s="38"/>
      <c r="B5" s="35"/>
      <c r="C5" s="36"/>
      <c r="D5" s="36"/>
      <c r="E5" s="37"/>
      <c r="F5" s="37"/>
      <c r="G5" s="5" t="s">
        <v>93</v>
      </c>
      <c r="H5" s="16">
        <v>595</v>
      </c>
      <c r="I5" s="17">
        <f t="shared" si="0"/>
        <v>595</v>
      </c>
    </row>
    <row r="6" spans="1:9" x14ac:dyDescent="0.25">
      <c r="A6" s="38"/>
      <c r="B6" s="35"/>
      <c r="C6" s="36"/>
      <c r="D6" s="36"/>
      <c r="E6" s="37"/>
      <c r="F6" s="37"/>
      <c r="G6" s="5" t="s">
        <v>94</v>
      </c>
      <c r="H6" s="16">
        <v>110</v>
      </c>
      <c r="I6" s="17">
        <f t="shared" si="0"/>
        <v>110</v>
      </c>
    </row>
    <row r="7" spans="1:9" x14ac:dyDescent="0.25">
      <c r="A7" s="38"/>
      <c r="B7" s="35"/>
      <c r="C7" s="36"/>
      <c r="D7" s="36"/>
      <c r="E7" s="37"/>
      <c r="F7" s="37"/>
      <c r="G7" s="5" t="s">
        <v>95</v>
      </c>
      <c r="H7" s="16">
        <v>1064.26</v>
      </c>
      <c r="I7" s="17">
        <f t="shared" si="0"/>
        <v>1064.26</v>
      </c>
    </row>
    <row r="8" spans="1:9" x14ac:dyDescent="0.25">
      <c r="A8" s="38"/>
      <c r="B8" s="35"/>
      <c r="C8" s="36"/>
      <c r="D8" s="36"/>
      <c r="E8" s="37"/>
      <c r="F8" s="37"/>
      <c r="G8" s="5" t="s">
        <v>167</v>
      </c>
      <c r="H8" s="16">
        <v>1400</v>
      </c>
      <c r="I8" s="17">
        <f t="shared" si="0"/>
        <v>1400</v>
      </c>
    </row>
    <row r="9" spans="1:9" x14ac:dyDescent="0.25">
      <c r="A9" s="38"/>
      <c r="B9" s="35"/>
      <c r="C9" s="36"/>
      <c r="D9" s="36"/>
      <c r="E9" s="37"/>
      <c r="F9" s="37"/>
      <c r="G9" s="5" t="s">
        <v>168</v>
      </c>
      <c r="H9" s="16">
        <v>5751</v>
      </c>
      <c r="I9" s="17" t="str">
        <f t="shared" si="0"/>
        <v>Descartado</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2024-08-28T12:54:26Z</cp:lastPrinted>
  <dcterms:created xsi:type="dcterms:W3CDTF">2023-11-07T17:10:34Z</dcterms:created>
  <dcterms:modified xsi:type="dcterms:W3CDTF">2024-08-28T12:54:32Z</dcterms:modified>
</cp:coreProperties>
</file>